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00" windowHeight="9840" tabRatio="823" activeTab="6"/>
  </bookViews>
  <sheets>
    <sheet name="Ianuarius" sheetId="1" r:id="rId1"/>
    <sheet name="Februaris" sheetId="2" r:id="rId2"/>
    <sheet name="Martius" sheetId="3" r:id="rId3"/>
    <sheet name="Aprilis" sheetId="4" r:id="rId4"/>
    <sheet name="Maius" sheetId="5" r:id="rId5"/>
    <sheet name="Iunius" sheetId="6" r:id="rId6"/>
    <sheet name="Iulius" sheetId="7" r:id="rId7"/>
    <sheet name="Augustus" sheetId="8" r:id="rId8"/>
    <sheet name="September" sheetId="9" r:id="rId9"/>
    <sheet name="October" sheetId="10" r:id="rId10"/>
    <sheet name="November" sheetId="11" r:id="rId11"/>
    <sheet name="December" sheetId="12" r:id="rId12"/>
    <sheet name="Fixed Feasts" sheetId="13" r:id="rId13"/>
    <sheet name="Movable Feasts" sheetId="14" r:id="rId14"/>
    <sheet name="Location" sheetId="15" r:id="rId15"/>
    <sheet name="Information" sheetId="16" r:id="rId16"/>
    <sheet name="Credits" sheetId="17" r:id="rId17"/>
  </sheets>
  <definedNames>
    <definedName name="_xlnm.Print_Area" localSheetId="3">'Aprilis'!$A$1:$U$32</definedName>
    <definedName name="_xlnm.Print_Area" localSheetId="7">'Augustus'!$A$1:$U$33</definedName>
    <definedName name="_xlnm.Print_Area" localSheetId="11">'December'!$A$1:$U$33</definedName>
    <definedName name="_xlnm.Print_Area" localSheetId="1">'Februaris'!$A$1:$U$30</definedName>
    <definedName name="_xlnm.Print_Area" localSheetId="0">'Ianuarius'!$A$1:$U$33</definedName>
    <definedName name="_xlnm.Print_Area" localSheetId="6">'Iulius'!$A$1:$U$33</definedName>
    <definedName name="_xlnm.Print_Area" localSheetId="5">'Iunius'!$A$1:$U$32</definedName>
    <definedName name="_xlnm.Print_Area" localSheetId="4">'Maius'!$A$1:$U$33</definedName>
    <definedName name="_xlnm.Print_Area" localSheetId="2">'Martius'!$A$1:$U$33</definedName>
    <definedName name="_xlnm.Print_Area" localSheetId="10">'November'!$A$1:$U$32</definedName>
    <definedName name="_xlnm.Print_Area" localSheetId="9">'October'!$A$1:$U$33</definedName>
    <definedName name="_xlnm.Print_Area" localSheetId="8">'September'!$A$1:$U$32</definedName>
  </definedNames>
  <calcPr fullCalcOnLoad="1"/>
</workbook>
</file>

<file path=xl/comments14.xml><?xml version="1.0" encoding="utf-8"?>
<comments xmlns="http://schemas.openxmlformats.org/spreadsheetml/2006/main">
  <authors>
    <author>Keith E. Brandt</author>
  </authors>
  <commentList>
    <comment ref="B2" authorId="0">
      <text>
        <r>
          <rPr>
            <sz val="8"/>
            <rFont val="Tahoma"/>
            <family val="2"/>
          </rPr>
          <t xml:space="preserve">The Tuesday prior to Ash Wednesday
</t>
        </r>
      </text>
    </comment>
    <comment ref="B3" authorId="0">
      <text>
        <r>
          <rPr>
            <sz val="8"/>
            <rFont val="Tahoma"/>
            <family val="2"/>
          </rPr>
          <t>46 Days before Easter. The beginning of Lent</t>
        </r>
        <r>
          <rPr>
            <sz val="8"/>
            <rFont val="Tahoma"/>
            <family val="2"/>
          </rPr>
          <t xml:space="preserve">
</t>
        </r>
      </text>
    </comment>
    <comment ref="B7" authorId="0">
      <text>
        <r>
          <rPr>
            <sz val="8"/>
            <rFont val="Tahoma"/>
            <family val="2"/>
          </rPr>
          <t>The Sunday before Easter</t>
        </r>
        <r>
          <rPr>
            <sz val="8"/>
            <rFont val="Tahoma"/>
            <family val="2"/>
          </rPr>
          <t xml:space="preserve">
</t>
        </r>
      </text>
    </comment>
    <comment ref="B8" authorId="0">
      <text>
        <r>
          <rPr>
            <sz val="8"/>
            <rFont val="Tahoma"/>
            <family val="2"/>
          </rPr>
          <t xml:space="preserve">Thursday in Holy Week
</t>
        </r>
      </text>
    </comment>
    <comment ref="B9" authorId="0">
      <text>
        <r>
          <rPr>
            <sz val="8"/>
            <rFont val="Tahoma"/>
            <family val="2"/>
          </rPr>
          <t>The Friday before Easter.</t>
        </r>
        <r>
          <rPr>
            <sz val="8"/>
            <rFont val="Tahoma"/>
            <family val="2"/>
          </rPr>
          <t xml:space="preserve">
The crucifixion</t>
        </r>
      </text>
    </comment>
    <comment ref="B10" authorId="0">
      <text>
        <r>
          <rPr>
            <sz val="8"/>
            <rFont val="Tahoma"/>
            <family val="2"/>
          </rPr>
          <t>He is Risen!</t>
        </r>
        <r>
          <rPr>
            <sz val="8"/>
            <rFont val="Tahoma"/>
            <family val="2"/>
          </rPr>
          <t xml:space="preserve">
</t>
        </r>
      </text>
    </comment>
    <comment ref="B14" authorId="0">
      <text>
        <r>
          <rPr>
            <sz val="8"/>
            <rFont val="Tahoma"/>
            <family val="2"/>
          </rPr>
          <t>10 days before Whitsunday</t>
        </r>
        <r>
          <rPr>
            <sz val="8"/>
            <rFont val="Tahoma"/>
            <family val="2"/>
          </rPr>
          <t xml:space="preserve">
</t>
        </r>
      </text>
    </comment>
    <comment ref="B15" authorId="0">
      <text>
        <r>
          <rPr>
            <sz val="8"/>
            <rFont val="Tahoma"/>
            <family val="2"/>
          </rPr>
          <t>The 50th day after Easter</t>
        </r>
        <r>
          <rPr>
            <sz val="8"/>
            <rFont val="Tahoma"/>
            <family val="2"/>
          </rPr>
          <t xml:space="preserve">
(inclusive counting)</t>
        </r>
      </text>
    </comment>
    <comment ref="B19" authorId="0">
      <text>
        <r>
          <rPr>
            <sz val="8"/>
            <rFont val="Tahoma"/>
            <family val="2"/>
          </rPr>
          <t>The Sunday following Whitsunday</t>
        </r>
        <r>
          <rPr>
            <sz val="8"/>
            <rFont val="Tahoma"/>
            <family val="2"/>
          </rPr>
          <t xml:space="preserve">
</t>
        </r>
      </text>
    </comment>
    <comment ref="B20" authorId="0">
      <text>
        <r>
          <rPr>
            <sz val="8"/>
            <rFont val="Tahoma"/>
            <family val="2"/>
          </rPr>
          <t>12 Days after Whitsunday (inclusive counting)</t>
        </r>
        <r>
          <rPr>
            <sz val="8"/>
            <rFont val="Tahoma"/>
            <family val="2"/>
          </rPr>
          <t xml:space="preserve">
</t>
        </r>
      </text>
    </comment>
    <comment ref="B24" authorId="0">
      <text>
        <r>
          <rPr>
            <sz val="8"/>
            <rFont val="Tahoma"/>
            <family val="2"/>
          </rPr>
          <t xml:space="preserve">4th Sunday before Christmas
</t>
        </r>
      </text>
    </comment>
  </commentList>
</comments>
</file>

<file path=xl/sharedStrings.xml><?xml version="1.0" encoding="utf-8"?>
<sst xmlns="http://schemas.openxmlformats.org/spreadsheetml/2006/main" count="1470" uniqueCount="321">
  <si>
    <t>Date</t>
  </si>
  <si>
    <t>Day of Week</t>
  </si>
  <si>
    <t>Feast</t>
  </si>
  <si>
    <t>Matins</t>
  </si>
  <si>
    <t>Lauds</t>
  </si>
  <si>
    <t>Prime</t>
  </si>
  <si>
    <t>Terce</t>
  </si>
  <si>
    <t>Sexts</t>
  </si>
  <si>
    <t xml:space="preserve">Nones </t>
  </si>
  <si>
    <t>Vespers</t>
  </si>
  <si>
    <t>Compline</t>
  </si>
  <si>
    <t>Sunrise</t>
  </si>
  <si>
    <t>Sunset</t>
  </si>
  <si>
    <t>Day Len</t>
  </si>
  <si>
    <t>Day Hour</t>
  </si>
  <si>
    <t>Night Len</t>
  </si>
  <si>
    <t>Night Hour</t>
  </si>
  <si>
    <t>A</t>
  </si>
  <si>
    <t>Kalends</t>
  </si>
  <si>
    <t>Circumcision DNIC</t>
  </si>
  <si>
    <t>xi</t>
  </si>
  <si>
    <t>B</t>
  </si>
  <si>
    <t>a.d. iv Nones</t>
  </si>
  <si>
    <t>xix</t>
  </si>
  <si>
    <t>C</t>
  </si>
  <si>
    <t>a.d. iii Nones</t>
  </si>
  <si>
    <t>D</t>
  </si>
  <si>
    <t>prid. Nones</t>
  </si>
  <si>
    <t>viii</t>
  </si>
  <si>
    <t>E</t>
  </si>
  <si>
    <t>Nones</t>
  </si>
  <si>
    <t>St Edward the Confessor</t>
  </si>
  <si>
    <t>F</t>
  </si>
  <si>
    <t>a.d. viii Ides</t>
  </si>
  <si>
    <t>Epiphany</t>
  </si>
  <si>
    <t>xvi</t>
  </si>
  <si>
    <t>G</t>
  </si>
  <si>
    <t>a.d. vii Ides</t>
  </si>
  <si>
    <t>v</t>
  </si>
  <si>
    <t>a.d. vi Ides</t>
  </si>
  <si>
    <t>xiii</t>
  </si>
  <si>
    <t>a.d. v Ides</t>
  </si>
  <si>
    <t>ii</t>
  </si>
  <si>
    <t>a.d. iv Ides</t>
  </si>
  <si>
    <t>a.d. iii Ides</t>
  </si>
  <si>
    <t>x</t>
  </si>
  <si>
    <t>prid. Ides</t>
  </si>
  <si>
    <t>Ides</t>
  </si>
  <si>
    <t>xviii</t>
  </si>
  <si>
    <t xml:space="preserve">a.d. xix Kal </t>
  </si>
  <si>
    <t>vii</t>
  </si>
  <si>
    <t>a.d. xviii Kal</t>
  </si>
  <si>
    <t xml:space="preserve">a.d. xvii Kal </t>
  </si>
  <si>
    <t>xv</t>
  </si>
  <si>
    <t>a.d. xvi Kal</t>
  </si>
  <si>
    <t>iv</t>
  </si>
  <si>
    <t>a.d. xv Kal</t>
  </si>
  <si>
    <t>a.d. xiv Kal</t>
  </si>
  <si>
    <t>Wulfstan</t>
  </si>
  <si>
    <t>xii</t>
  </si>
  <si>
    <t>a.d. xiii Kal</t>
  </si>
  <si>
    <t>i</t>
  </si>
  <si>
    <t>a.d. xii Kal</t>
  </si>
  <si>
    <t>a.d. xi Kal</t>
  </si>
  <si>
    <t>ix</t>
  </si>
  <si>
    <t>a.d. x Kal</t>
  </si>
  <si>
    <t>a.d. ix Kal</t>
  </si>
  <si>
    <t>xvii</t>
  </si>
  <si>
    <t>a.d. viii Kal</t>
  </si>
  <si>
    <t>vi</t>
  </si>
  <si>
    <t>a.d. vii Kal</t>
  </si>
  <si>
    <t>a.d. vi Kal</t>
  </si>
  <si>
    <t>xiv</t>
  </si>
  <si>
    <t>a.d. v Kal</t>
  </si>
  <si>
    <t>Thomas Aquinas</t>
  </si>
  <si>
    <t>iii</t>
  </si>
  <si>
    <t>a.d. iv Kal</t>
  </si>
  <si>
    <t>a.d. iii Kal</t>
  </si>
  <si>
    <t>Prid. Kal</t>
  </si>
  <si>
    <t>Presentaton of our Lord/Candlemas</t>
  </si>
  <si>
    <t>Valentine</t>
  </si>
  <si>
    <t>Wulfric</t>
  </si>
  <si>
    <t>St. Matthias the Apostle</t>
  </si>
  <si>
    <t>Ash Wednesday</t>
  </si>
  <si>
    <t>Location Name:</t>
  </si>
  <si>
    <t>Latitude:</t>
  </si>
  <si>
    <t>Longitude</t>
  </si>
  <si>
    <t>Year</t>
  </si>
  <si>
    <t>Time Zone</t>
  </si>
  <si>
    <t xml:space="preserve">David </t>
  </si>
  <si>
    <t>vi Nones</t>
  </si>
  <si>
    <t>Chad</t>
  </si>
  <si>
    <t>v Nones</t>
  </si>
  <si>
    <t>iv Nones</t>
  </si>
  <si>
    <t>iii Nones</t>
  </si>
  <si>
    <t>viii Ides</t>
  </si>
  <si>
    <t>vii Ides</t>
  </si>
  <si>
    <t>vi Ides</t>
  </si>
  <si>
    <t>v Ides</t>
  </si>
  <si>
    <t>iv Ides</t>
  </si>
  <si>
    <t>Gregory the Great</t>
  </si>
  <si>
    <t>iii Ides</t>
  </si>
  <si>
    <t xml:space="preserve">xvii Kal </t>
  </si>
  <si>
    <t>xvi Kal</t>
  </si>
  <si>
    <t>Patrick</t>
  </si>
  <si>
    <t>xv Kal</t>
  </si>
  <si>
    <t>Edward, King of Wessex</t>
  </si>
  <si>
    <t>xiv Kal</t>
  </si>
  <si>
    <t>xiii Kal</t>
  </si>
  <si>
    <t>Cuthbert</t>
  </si>
  <si>
    <t>xii Kal</t>
  </si>
  <si>
    <t>xi Kal</t>
  </si>
  <si>
    <t>x Kal</t>
  </si>
  <si>
    <t>ix Kal</t>
  </si>
  <si>
    <t>viii Kal</t>
  </si>
  <si>
    <t>Annunciation (Lady Day)</t>
  </si>
  <si>
    <t>vii Kal</t>
  </si>
  <si>
    <t>vi Kal</t>
  </si>
  <si>
    <t>v Kal</t>
  </si>
  <si>
    <t>iv Kal</t>
  </si>
  <si>
    <t>iii Kal</t>
  </si>
  <si>
    <t>Easter</t>
  </si>
  <si>
    <t>xviii Kal</t>
  </si>
  <si>
    <t>Good Friday</t>
  </si>
  <si>
    <t>Alphege</t>
  </si>
  <si>
    <t>Anselm</t>
  </si>
  <si>
    <t>George of England</t>
  </si>
  <si>
    <t>Beltaine, St Philip and St James</t>
  </si>
  <si>
    <t>Invention of the Holy Cross (Rood Day)</t>
  </si>
  <si>
    <t>Venerable Bede</t>
  </si>
  <si>
    <t>Visitation of the BVM</t>
  </si>
  <si>
    <t>Day Hr</t>
  </si>
  <si>
    <t>Night Hr</t>
  </si>
  <si>
    <t>Justin Martyr</t>
  </si>
  <si>
    <t>Columba</t>
  </si>
  <si>
    <t>Basil</t>
  </si>
  <si>
    <t>Alban</t>
  </si>
  <si>
    <t>Midsummer's Eve</t>
  </si>
  <si>
    <t>Nativity of John the Baptist</t>
  </si>
  <si>
    <t>Irenaeus</t>
  </si>
  <si>
    <t>Transfiguration</t>
  </si>
  <si>
    <t xml:space="preserve">xix Kal </t>
  </si>
  <si>
    <t>Bernard of Clairvaux</t>
  </si>
  <si>
    <t>Aidan</t>
  </si>
  <si>
    <t>Nativity BVM</t>
  </si>
  <si>
    <t>Exaltation of the Holy Cross</t>
  </si>
  <si>
    <t>Jerome</t>
  </si>
  <si>
    <t>Samhain, All Saints Day</t>
  </si>
  <si>
    <t>Edmund</t>
  </si>
  <si>
    <t>Nicholas</t>
  </si>
  <si>
    <t>Conception BVM</t>
  </si>
  <si>
    <t>Nativity of Christ</t>
  </si>
  <si>
    <t>Holy Innocents</t>
  </si>
  <si>
    <t>Becket</t>
  </si>
  <si>
    <r>
      <t>IMPORTANT:</t>
    </r>
    <r>
      <rPr>
        <b/>
        <sz val="10"/>
        <rFont val="Arial"/>
        <family val="2"/>
      </rPr>
      <t xml:space="preserve"> For the calendar to work correctly for your location, the following information must be</t>
    </r>
  </si>
  <si>
    <t xml:space="preserve">Just for reference so you don't forget. </t>
  </si>
  <si>
    <t>Format is XX.XXXX. Positive for Northern Hemisphere</t>
  </si>
  <si>
    <t>Palm Sunday</t>
  </si>
  <si>
    <t>Format is XXX.XXXX. Negative for Western Hemisphere</t>
  </si>
  <si>
    <t>Offset of your standard time zone from UTC. ET is -5, CT is -6, MT is -7, PT is -8</t>
  </si>
  <si>
    <t>The Golden Number is</t>
  </si>
  <si>
    <t>Lat/Long format converter</t>
  </si>
  <si>
    <t>Minutes</t>
  </si>
  <si>
    <t>Seconds</t>
  </si>
  <si>
    <t>XX.XXX</t>
  </si>
  <si>
    <t>Degrees</t>
  </si>
  <si>
    <t>The Dominical Letter is</t>
  </si>
  <si>
    <t>Houston, TX</t>
  </si>
  <si>
    <t>Ianuarius A.D.</t>
  </si>
  <si>
    <t>Februaris A.D.</t>
  </si>
  <si>
    <t>December A.D.</t>
  </si>
  <si>
    <t>November A.D.</t>
  </si>
  <si>
    <t>October A.D.</t>
  </si>
  <si>
    <t>September A.D.</t>
  </si>
  <si>
    <t>Augustus A.D.</t>
  </si>
  <si>
    <t>Iulius A.D.</t>
  </si>
  <si>
    <t>Iunius A.D.</t>
  </si>
  <si>
    <t>Maius A.D.</t>
  </si>
  <si>
    <t>Aprilis A.D.</t>
  </si>
  <si>
    <t>Martius A.D.</t>
  </si>
  <si>
    <t>Leap year?</t>
  </si>
  <si>
    <t>January</t>
  </si>
  <si>
    <t>February</t>
  </si>
  <si>
    <t>Timothy and Titus</t>
  </si>
  <si>
    <t>Imbolc, Brigid</t>
  </si>
  <si>
    <t>Ethelbert</t>
  </si>
  <si>
    <t>March</t>
  </si>
  <si>
    <t>Benedict</t>
  </si>
  <si>
    <t>April</t>
  </si>
  <si>
    <t>May</t>
  </si>
  <si>
    <t>September</t>
  </si>
  <si>
    <t>June</t>
  </si>
  <si>
    <t>Vitus</t>
  </si>
  <si>
    <t>July</t>
  </si>
  <si>
    <t>August</t>
  </si>
  <si>
    <t>Lammas</t>
  </si>
  <si>
    <t>October</t>
  </si>
  <si>
    <t>November</t>
  </si>
  <si>
    <t>December</t>
  </si>
  <si>
    <t>Shrove Tuesday</t>
  </si>
  <si>
    <t>Maundy Thursday</t>
  </si>
  <si>
    <t>Ascension</t>
  </si>
  <si>
    <t>Trinity Sunday</t>
  </si>
  <si>
    <t>Corpus Christi</t>
  </si>
  <si>
    <t>Movable Feasts of the Church for A.D.</t>
  </si>
  <si>
    <t>Easter is</t>
  </si>
  <si>
    <t>Observe DST?</t>
  </si>
  <si>
    <t>Yes</t>
  </si>
  <si>
    <t>Boniface</t>
  </si>
  <si>
    <t>Whitsunday (Pentecost)</t>
  </si>
  <si>
    <t>First Sunday in Advent</t>
  </si>
  <si>
    <t>Ember Day</t>
  </si>
  <si>
    <t>Lucia</t>
  </si>
  <si>
    <t>Rogation Day</t>
  </si>
  <si>
    <t>Full 4-digit year (Calendar valid 1900 - 2099 only!)</t>
  </si>
  <si>
    <t>properly entered. It is used to calculate the sunrise and sunset and movable feasts.</t>
  </si>
  <si>
    <t xml:space="preserve"> </t>
  </si>
  <si>
    <t>Augustine of Hippo</t>
  </si>
  <si>
    <t>Martinmas</t>
  </si>
  <si>
    <t>Barnabas the Apostle</t>
  </si>
  <si>
    <t>Peter and Paul</t>
  </si>
  <si>
    <t>Mary Magdalene</t>
  </si>
  <si>
    <t>James the Apostle</t>
  </si>
  <si>
    <t>Mary the Virgin</t>
  </si>
  <si>
    <t>Bartholomew the Apostle</t>
  </si>
  <si>
    <t>Matthew</t>
  </si>
  <si>
    <t>Francis of Assisi</t>
  </si>
  <si>
    <t>Luke</t>
  </si>
  <si>
    <t>James of Jerusalem</t>
  </si>
  <si>
    <t>Andrew</t>
  </si>
  <si>
    <t>Thomas the Apostle</t>
  </si>
  <si>
    <t>Stephen</t>
  </si>
  <si>
    <t>John, Apostle and Evangelist</t>
  </si>
  <si>
    <t>Edward the Confessor</t>
  </si>
  <si>
    <t>Conversion of Paul</t>
  </si>
  <si>
    <t>Joseph</t>
  </si>
  <si>
    <t>Dunstan</t>
  </si>
  <si>
    <t>Augustine of Canterbury</t>
  </si>
  <si>
    <t>Michael and all Angels</t>
  </si>
  <si>
    <t>Simon and Jude</t>
  </si>
  <si>
    <t>Enter No if your area doesn't observe Daylight Saving Time (e.g., Hawaii)</t>
  </si>
  <si>
    <t>Mark the Evangelist? Rogation Day</t>
  </si>
  <si>
    <t>Beltaine, Philip and James</t>
  </si>
  <si>
    <t>First celebrated 11th century</t>
  </si>
  <si>
    <t>Canonized 1161</t>
  </si>
  <si>
    <t>Hillary</t>
  </si>
  <si>
    <t>Thus the 'Hillary Term' in colleges</t>
  </si>
  <si>
    <t>Paul the Hermit</t>
  </si>
  <si>
    <t>Consistant after 5th century</t>
  </si>
  <si>
    <t xml:space="preserve">d. 345 </t>
  </si>
  <si>
    <t>Confession of Peter</t>
  </si>
  <si>
    <t>d c 1095</t>
  </si>
  <si>
    <t>Fabian</t>
  </si>
  <si>
    <t xml:space="preserve">d 250, Pope and Martyr </t>
  </si>
  <si>
    <t>Agnes</t>
  </si>
  <si>
    <t>d 301</t>
  </si>
  <si>
    <t>Vincent</t>
  </si>
  <si>
    <t>d 304</t>
  </si>
  <si>
    <t>d 1274</t>
  </si>
  <si>
    <t xml:space="preserve">a.d. xvi Kal </t>
  </si>
  <si>
    <t>Richard of Chichester</t>
  </si>
  <si>
    <t>6th or 7th c. Also 'Peter's Chair in Rome'</t>
  </si>
  <si>
    <t>d 1253, Cannonized 1262. Shrine in Chichester Cathedral common pilgrimage destination until its destruction in 1538</t>
  </si>
  <si>
    <t>From 6th c France, accepted by Rome 11th c.</t>
  </si>
  <si>
    <t>II S af Christmas</t>
  </si>
  <si>
    <t>II S af Epiphany</t>
  </si>
  <si>
    <t>Baptism of our Lord</t>
  </si>
  <si>
    <t>III S af Epiphany</t>
  </si>
  <si>
    <t>IV S af Epiphany</t>
  </si>
  <si>
    <t>V S af Epiphany</t>
  </si>
  <si>
    <t>VI S af Epiphany</t>
  </si>
  <si>
    <t>I S in Lent</t>
  </si>
  <si>
    <t>II S in Lent</t>
  </si>
  <si>
    <t>III Sunday in Lent</t>
  </si>
  <si>
    <t>IV Sunday in Lent</t>
  </si>
  <si>
    <t>V Sunday in Lent</t>
  </si>
  <si>
    <t>Monday in Holy Week</t>
  </si>
  <si>
    <t>Tuesday in Holy Week</t>
  </si>
  <si>
    <t>Wednesday in Holy Week</t>
  </si>
  <si>
    <t>Holy Saturday</t>
  </si>
  <si>
    <t>II Sunday of Easter</t>
  </si>
  <si>
    <t>III Sunday of Easter</t>
  </si>
  <si>
    <t>Mark the Evangelist (t)</t>
  </si>
  <si>
    <t>IV Sunday of Easter</t>
  </si>
  <si>
    <t>Pentecost</t>
  </si>
  <si>
    <t>V Sunday of Easter</t>
  </si>
  <si>
    <t>VI Sunday of Easter</t>
  </si>
  <si>
    <t>VII Sunday of Easter</t>
  </si>
  <si>
    <t>III Sunday after Pentecost</t>
  </si>
  <si>
    <t>II Sunday after Pentecost</t>
  </si>
  <si>
    <t>IV Sunday after Pentecost</t>
  </si>
  <si>
    <t>V Sunday after Pentecost</t>
  </si>
  <si>
    <t>VI Sunday after Pentecost</t>
  </si>
  <si>
    <t>VII Sunday after Pentecost</t>
  </si>
  <si>
    <t>VIII Sunday after Pentecost</t>
  </si>
  <si>
    <t>James the Apostle (t)</t>
  </si>
  <si>
    <t>IX Sunday after Pentecost</t>
  </si>
  <si>
    <t>Mary the Virgin (t)</t>
  </si>
  <si>
    <t>X Sun af Pentecost (Lammas)</t>
  </si>
  <si>
    <t>XI Sunday after Pentecost</t>
  </si>
  <si>
    <t>XII Sunday after Pentecost</t>
  </si>
  <si>
    <t>XIII Sunday after Pentecost</t>
  </si>
  <si>
    <t>XIV Sunday after Pentecost</t>
  </si>
  <si>
    <t>XVI Sunday after Pentecost</t>
  </si>
  <si>
    <t>XV Sunday after Pentecost</t>
  </si>
  <si>
    <t>XVII Sunday after Pentecost</t>
  </si>
  <si>
    <t>XVIII Sunday after Pentecost</t>
  </si>
  <si>
    <t>XX Sunday after Pentecost</t>
  </si>
  <si>
    <t>XXI Sunday after Pentecost</t>
  </si>
  <si>
    <t>XXII Sunday after Pentecost</t>
  </si>
  <si>
    <t>XXIII Sunday after Pentecost</t>
  </si>
  <si>
    <t>Christ the King</t>
  </si>
  <si>
    <t>1 Advent</t>
  </si>
  <si>
    <t>XXIV Sunday after Pentecost</t>
  </si>
  <si>
    <t>XXV Sunday after Pentecost</t>
  </si>
  <si>
    <t>II Advent</t>
  </si>
  <si>
    <t>III Advent</t>
  </si>
  <si>
    <t>IV Advent</t>
  </si>
  <si>
    <t>I Sunday after Christmas</t>
  </si>
  <si>
    <t>Matthias the Apostle (Ember Day)</t>
  </si>
  <si>
    <t>Augustine of Canterbury (Ember Day)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</si>
</sst>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 numFmtId="167" formatCode="[$-409]h:mm:ss\ AM/PM;@"/>
    <numFmt numFmtId="168" formatCode="0.000"/>
    <numFmt numFmtId="169" formatCode="m/d/yy"/>
    <numFmt numFmtId="170" formatCode="m/d/yyyy"/>
    <numFmt numFmtId="171" formatCode="mmm\-yyyy"/>
    <numFmt numFmtId="172" formatCode="mmm/yyyy"/>
    <numFmt numFmtId="173" formatCode="mmmm\ d\,\ yyyy"/>
    <numFmt numFmtId="174" formatCode="0.0000"/>
    <numFmt numFmtId="175" formatCode="mmmm\ d"/>
    <numFmt numFmtId="176" formatCode="dd/mm/yyyy"/>
  </numFmts>
  <fonts count="58">
    <font>
      <sz val="10"/>
      <name val="Arial"/>
      <family val="0"/>
    </font>
    <font>
      <u val="single"/>
      <sz val="10"/>
      <color indexed="12"/>
      <name val="Arial"/>
      <family val="2"/>
    </font>
    <font>
      <u val="single"/>
      <sz val="10"/>
      <color indexed="36"/>
      <name val="Arial"/>
      <family val="2"/>
    </font>
    <font>
      <b/>
      <sz val="10"/>
      <name val="Arial"/>
      <family val="2"/>
    </font>
    <font>
      <b/>
      <sz val="18"/>
      <name val="Arial"/>
      <family val="2"/>
    </font>
    <font>
      <b/>
      <sz val="10"/>
      <color indexed="8"/>
      <name val="Arial"/>
      <family val="2"/>
    </font>
    <font>
      <b/>
      <sz val="10"/>
      <color indexed="10"/>
      <name val="Arial"/>
      <family val="2"/>
    </font>
    <font>
      <b/>
      <i/>
      <sz val="10"/>
      <color indexed="50"/>
      <name val="Arial"/>
      <family val="2"/>
    </font>
    <font>
      <b/>
      <i/>
      <sz val="10"/>
      <color indexed="10"/>
      <name val="Arial"/>
      <family val="2"/>
    </font>
    <font>
      <sz val="10"/>
      <color indexed="9"/>
      <name val="Arial"/>
      <family val="2"/>
    </font>
    <font>
      <sz val="10"/>
      <color indexed="8"/>
      <name val="Arial"/>
      <family val="2"/>
    </font>
    <font>
      <b/>
      <i/>
      <sz val="10"/>
      <color indexed="17"/>
      <name val="Arial"/>
      <family val="2"/>
    </font>
    <font>
      <b/>
      <sz val="10"/>
      <color indexed="17"/>
      <name val="Arial"/>
      <family val="2"/>
    </font>
    <font>
      <b/>
      <sz val="9"/>
      <name val="Arial"/>
      <family val="2"/>
    </font>
    <font>
      <sz val="9"/>
      <name val="Arial"/>
      <family val="2"/>
    </font>
    <font>
      <sz val="9"/>
      <color indexed="8"/>
      <name val="Arial"/>
      <family val="2"/>
    </font>
    <font>
      <b/>
      <sz val="10"/>
      <color indexed="9"/>
      <name val="Arial"/>
      <family val="2"/>
    </font>
    <font>
      <sz val="8"/>
      <name val="Tahoma"/>
      <family val="2"/>
    </font>
    <font>
      <b/>
      <i/>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Arial"/>
      <family val="2"/>
    </font>
    <font>
      <b/>
      <i/>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6"/>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19"/>
        <bgColor indexed="64"/>
      </patternFill>
    </fill>
    <fill>
      <patternFill patternType="solid">
        <fgColor indexed="20"/>
        <bgColor indexed="64"/>
      </patternFill>
    </fill>
    <fill>
      <patternFill patternType="solid">
        <fgColor indexed="8"/>
        <bgColor indexed="64"/>
      </patternFill>
    </fill>
    <fill>
      <patternFill patternType="solid">
        <fgColor rgb="FF008000"/>
        <bgColor indexed="64"/>
      </patternFill>
    </fill>
    <fill>
      <patternFill patternType="solid">
        <fgColor theme="0"/>
        <bgColor indexed="64"/>
      </patternFill>
    </fill>
    <fill>
      <patternFill patternType="solid">
        <fgColor rgb="FF7030A0"/>
        <bgColor indexed="64"/>
      </patternFill>
    </fill>
    <fill>
      <patternFill patternType="solid">
        <fgColor rgb="FFFF0000"/>
        <bgColor indexed="64"/>
      </patternFill>
    </fill>
    <fill>
      <patternFill patternType="solid">
        <fgColor indexed="4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hair"/>
      <right style="hair"/>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9">
    <xf numFmtId="0" fontId="0" fillId="0" borderId="0" xfId="0" applyAlignment="1">
      <alignment/>
    </xf>
    <xf numFmtId="0" fontId="0" fillId="0" borderId="0" xfId="0" applyAlignment="1">
      <alignment horizontal="left"/>
    </xf>
    <xf numFmtId="0" fontId="0" fillId="0" borderId="0" xfId="57" applyBorder="1">
      <alignment/>
      <protection/>
    </xf>
    <xf numFmtId="0" fontId="0" fillId="33" borderId="10" xfId="57" applyFill="1" applyBorder="1">
      <alignment/>
      <protection/>
    </xf>
    <xf numFmtId="0" fontId="0" fillId="0" borderId="0" xfId="57">
      <alignment/>
      <protection/>
    </xf>
    <xf numFmtId="1" fontId="0" fillId="0" borderId="0" xfId="57" applyNumberFormat="1">
      <alignment/>
      <protection/>
    </xf>
    <xf numFmtId="15" fontId="0" fillId="0" borderId="0" xfId="57" applyNumberFormat="1">
      <alignment/>
      <protection/>
    </xf>
    <xf numFmtId="15" fontId="0" fillId="0" borderId="0" xfId="57" applyNumberFormat="1" applyAlignment="1">
      <alignment horizontal="center"/>
      <protection/>
    </xf>
    <xf numFmtId="15" fontId="5" fillId="0" borderId="0" xfId="57" applyNumberFormat="1" applyFont="1" applyAlignment="1">
      <alignment horizontal="center"/>
      <protection/>
    </xf>
    <xf numFmtId="20" fontId="0" fillId="0" borderId="0" xfId="57" applyNumberFormat="1">
      <alignment/>
      <protection/>
    </xf>
    <xf numFmtId="21" fontId="0" fillId="0" borderId="0" xfId="57" applyNumberFormat="1">
      <alignment/>
      <protection/>
    </xf>
    <xf numFmtId="15" fontId="6" fillId="0" borderId="0" xfId="57" applyNumberFormat="1" applyFont="1" applyAlignment="1">
      <alignment horizontal="center"/>
      <protection/>
    </xf>
    <xf numFmtId="15" fontId="0" fillId="0" borderId="11" xfId="57" applyNumberFormat="1" applyFill="1" applyBorder="1">
      <alignment/>
      <protection/>
    </xf>
    <xf numFmtId="15" fontId="3" fillId="0" borderId="0" xfId="57" applyNumberFormat="1" applyFont="1" applyAlignment="1">
      <alignment horizontal="center"/>
      <protection/>
    </xf>
    <xf numFmtId="15" fontId="0" fillId="0" borderId="0" xfId="57" applyNumberFormat="1" applyBorder="1">
      <alignment/>
      <protection/>
    </xf>
    <xf numFmtId="15" fontId="0" fillId="0" borderId="0" xfId="57" applyNumberFormat="1" applyFill="1" applyBorder="1">
      <alignment/>
      <protection/>
    </xf>
    <xf numFmtId="15" fontId="7" fillId="0" borderId="0" xfId="57" applyNumberFormat="1" applyFont="1" applyAlignment="1">
      <alignment horizontal="center"/>
      <protection/>
    </xf>
    <xf numFmtId="15" fontId="0" fillId="0" borderId="0" xfId="57" applyNumberFormat="1" applyFont="1" applyAlignment="1">
      <alignment horizontal="center"/>
      <protection/>
    </xf>
    <xf numFmtId="0" fontId="0" fillId="0" borderId="0" xfId="57" applyFill="1" applyBorder="1">
      <alignment/>
      <protection/>
    </xf>
    <xf numFmtId="0" fontId="0" fillId="0" borderId="0" xfId="57" applyFont="1">
      <alignment/>
      <protection/>
    </xf>
    <xf numFmtId="0" fontId="3" fillId="34" borderId="0" xfId="0" applyFont="1" applyFill="1" applyAlignment="1">
      <alignment/>
    </xf>
    <xf numFmtId="0" fontId="8" fillId="34" borderId="0" xfId="0" applyFont="1"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15" fontId="11" fillId="0" borderId="0" xfId="57" applyNumberFormat="1" applyFont="1" applyAlignment="1">
      <alignment horizontal="center"/>
      <protection/>
    </xf>
    <xf numFmtId="15" fontId="12" fillId="0" borderId="0" xfId="57" applyNumberFormat="1" applyFont="1" applyAlignment="1">
      <alignment horizontal="center"/>
      <protection/>
    </xf>
    <xf numFmtId="0" fontId="0" fillId="33" borderId="10" xfId="57" applyFill="1" applyBorder="1" applyAlignment="1">
      <alignment horizontal="center"/>
      <protection/>
    </xf>
    <xf numFmtId="0" fontId="0" fillId="33" borderId="0" xfId="57" applyFill="1" applyBorder="1" applyAlignment="1">
      <alignment horizontal="center"/>
      <protection/>
    </xf>
    <xf numFmtId="0" fontId="0" fillId="37" borderId="0" xfId="0" applyFill="1" applyAlignment="1">
      <alignment/>
    </xf>
    <xf numFmtId="0" fontId="0" fillId="37" borderId="0" xfId="0" applyFill="1" applyAlignment="1">
      <alignment horizontal="right"/>
    </xf>
    <xf numFmtId="0" fontId="0" fillId="38" borderId="0" xfId="0" applyFill="1" applyAlignment="1">
      <alignment/>
    </xf>
    <xf numFmtId="0" fontId="0" fillId="38" borderId="0" xfId="0" applyFill="1" applyAlignment="1">
      <alignment horizontal="right"/>
    </xf>
    <xf numFmtId="0" fontId="0" fillId="38" borderId="0" xfId="0" applyFill="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174" fontId="0" fillId="36" borderId="15" xfId="0" applyNumberFormat="1" applyFill="1" applyBorder="1" applyAlignment="1">
      <alignment horizontal="center"/>
    </xf>
    <xf numFmtId="175" fontId="0" fillId="37" borderId="0" xfId="0" applyNumberFormat="1" applyFill="1" applyAlignment="1">
      <alignment horizontal="center"/>
    </xf>
    <xf numFmtId="0" fontId="3" fillId="0" borderId="0" xfId="0" applyFont="1" applyAlignment="1">
      <alignment horizontal="center"/>
    </xf>
    <xf numFmtId="0" fontId="9" fillId="0" borderId="0" xfId="0" applyFont="1" applyFill="1" applyAlignment="1" applyProtection="1">
      <alignment horizontal="center"/>
      <protection/>
    </xf>
    <xf numFmtId="0" fontId="0" fillId="40" borderId="0" xfId="0" applyFill="1" applyAlignment="1" applyProtection="1">
      <alignment horizontal="center"/>
      <protection locked="0"/>
    </xf>
    <xf numFmtId="0" fontId="0" fillId="41" borderId="16" xfId="0" applyFill="1" applyBorder="1" applyAlignment="1" applyProtection="1">
      <alignment horizontal="center"/>
      <protection locked="0"/>
    </xf>
    <xf numFmtId="0" fontId="0" fillId="41" borderId="17" xfId="0" applyFill="1" applyBorder="1" applyAlignment="1" applyProtection="1">
      <alignment horizontal="center"/>
      <protection locked="0"/>
    </xf>
    <xf numFmtId="15" fontId="0" fillId="0" borderId="11" xfId="57" applyNumberFormat="1" applyFill="1" applyBorder="1" applyProtection="1">
      <alignment/>
      <protection locked="0"/>
    </xf>
    <xf numFmtId="15" fontId="0" fillId="42" borderId="11" xfId="57" applyNumberFormat="1" applyFont="1" applyFill="1" applyBorder="1" applyProtection="1">
      <alignment/>
      <protection locked="0"/>
    </xf>
    <xf numFmtId="15" fontId="0" fillId="43" borderId="11" xfId="57" applyNumberFormat="1" applyFill="1" applyBorder="1" applyProtection="1">
      <alignment/>
      <protection locked="0"/>
    </xf>
    <xf numFmtId="15" fontId="0" fillId="43" borderId="11" xfId="57" applyNumberFormat="1" applyFont="1" applyFill="1" applyBorder="1" applyProtection="1">
      <alignment/>
      <protection locked="0"/>
    </xf>
    <xf numFmtId="15" fontId="0" fillId="42" borderId="11" xfId="57" applyNumberFormat="1" applyFill="1" applyBorder="1" applyProtection="1">
      <alignment/>
      <protection locked="0"/>
    </xf>
    <xf numFmtId="0" fontId="0" fillId="43" borderId="11" xfId="57" applyFont="1" applyFill="1" applyBorder="1" applyProtection="1">
      <alignment/>
      <protection locked="0"/>
    </xf>
    <xf numFmtId="0" fontId="0" fillId="42" borderId="11" xfId="57" applyFill="1" applyBorder="1" applyProtection="1">
      <alignment/>
      <protection locked="0"/>
    </xf>
    <xf numFmtId="15" fontId="0" fillId="0" borderId="0" xfId="57" applyNumberFormat="1" applyFont="1">
      <alignment/>
      <protection/>
    </xf>
    <xf numFmtId="0" fontId="10" fillId="0" borderId="0" xfId="0" applyFont="1" applyFill="1" applyAlignment="1" applyProtection="1">
      <alignment horizontal="center"/>
      <protection/>
    </xf>
    <xf numFmtId="0" fontId="0" fillId="0" borderId="0" xfId="0" applyFill="1" applyAlignment="1">
      <alignment horizontal="center"/>
    </xf>
    <xf numFmtId="0" fontId="0" fillId="40" borderId="0" xfId="0" applyFill="1" applyAlignment="1">
      <alignment horizontal="center"/>
    </xf>
    <xf numFmtId="0" fontId="0" fillId="44" borderId="0" xfId="0" applyFill="1" applyAlignment="1">
      <alignment horizontal="right"/>
    </xf>
    <xf numFmtId="0" fontId="0" fillId="0" borderId="0" xfId="0" applyFill="1" applyAlignment="1">
      <alignment/>
    </xf>
    <xf numFmtId="0" fontId="10" fillId="0" borderId="0" xfId="0" applyFont="1" applyAlignment="1">
      <alignment/>
    </xf>
    <xf numFmtId="0" fontId="9" fillId="0" borderId="0" xfId="0" applyFont="1" applyFill="1" applyAlignment="1">
      <alignment horizontal="center"/>
    </xf>
    <xf numFmtId="15" fontId="0" fillId="0" borderId="0" xfId="57" applyNumberFormat="1" applyProtection="1">
      <alignment/>
      <protection/>
    </xf>
    <xf numFmtId="0" fontId="0" fillId="0" borderId="0" xfId="57" applyProtection="1">
      <alignment/>
      <protection/>
    </xf>
    <xf numFmtId="15" fontId="0" fillId="0" borderId="0" xfId="57" applyNumberFormat="1" applyAlignment="1" applyProtection="1">
      <alignment horizontal="center"/>
      <protection/>
    </xf>
    <xf numFmtId="15" fontId="10" fillId="0" borderId="0" xfId="57" applyNumberFormat="1" applyFont="1" applyAlignment="1">
      <alignment horizontal="center"/>
      <protection/>
    </xf>
    <xf numFmtId="1" fontId="14" fillId="35" borderId="0" xfId="0" applyNumberFormat="1" applyFont="1" applyFill="1" applyBorder="1" applyAlignment="1">
      <alignment/>
    </xf>
    <xf numFmtId="15" fontId="14" fillId="0" borderId="0" xfId="0" applyNumberFormat="1" applyFont="1" applyFill="1" applyBorder="1" applyAlignment="1">
      <alignment/>
    </xf>
    <xf numFmtId="15" fontId="14" fillId="35" borderId="0" xfId="0" applyNumberFormat="1" applyFont="1" applyFill="1" applyBorder="1" applyAlignment="1">
      <alignment/>
    </xf>
    <xf numFmtId="0" fontId="0" fillId="0" borderId="0" xfId="0" applyAlignment="1">
      <alignment horizontal="right"/>
    </xf>
    <xf numFmtId="15" fontId="0" fillId="41" borderId="11" xfId="57" applyNumberFormat="1" applyFont="1" applyFill="1" applyBorder="1" applyProtection="1">
      <alignment/>
      <protection locked="0"/>
    </xf>
    <xf numFmtId="0" fontId="14" fillId="35" borderId="0" xfId="0" applyFont="1" applyFill="1" applyBorder="1" applyAlignment="1">
      <alignment/>
    </xf>
    <xf numFmtId="0" fontId="0" fillId="0" borderId="0" xfId="0" applyBorder="1" applyAlignment="1">
      <alignment/>
    </xf>
    <xf numFmtId="15" fontId="14" fillId="0" borderId="0" xfId="57" applyNumberFormat="1" applyFont="1" applyFill="1" applyBorder="1" applyProtection="1">
      <alignment/>
      <protection locked="0"/>
    </xf>
    <xf numFmtId="15" fontId="14" fillId="43" borderId="0" xfId="0" applyNumberFormat="1" applyFont="1" applyFill="1" applyBorder="1" applyAlignment="1">
      <alignment/>
    </xf>
    <xf numFmtId="15" fontId="14" fillId="42" borderId="0" xfId="0" applyNumberFormat="1" applyFont="1" applyFill="1" applyBorder="1" applyAlignment="1">
      <alignment/>
    </xf>
    <xf numFmtId="0" fontId="14" fillId="0" borderId="0" xfId="57" applyFont="1" applyFill="1" applyBorder="1" applyProtection="1">
      <alignment/>
      <protection locked="0"/>
    </xf>
    <xf numFmtId="15" fontId="14" fillId="42" borderId="0" xfId="57" applyNumberFormat="1" applyFont="1" applyFill="1" applyBorder="1" applyProtection="1">
      <alignment/>
      <protection locked="0"/>
    </xf>
    <xf numFmtId="1" fontId="14" fillId="35" borderId="0" xfId="57" applyNumberFormat="1" applyFont="1" applyFill="1" applyBorder="1" applyProtection="1">
      <alignment/>
      <protection locked="0"/>
    </xf>
    <xf numFmtId="15" fontId="0" fillId="43" borderId="0" xfId="57" applyNumberFormat="1" applyFill="1" applyBorder="1" applyProtection="1">
      <alignment/>
      <protection locked="0"/>
    </xf>
    <xf numFmtId="15" fontId="14" fillId="41" borderId="0" xfId="0" applyNumberFormat="1" applyFont="1" applyFill="1" applyBorder="1" applyAlignment="1">
      <alignment/>
    </xf>
    <xf numFmtId="0" fontId="14" fillId="43" borderId="0" xfId="0" applyFont="1" applyFill="1" applyBorder="1" applyAlignment="1">
      <alignment/>
    </xf>
    <xf numFmtId="0" fontId="0" fillId="35" borderId="0" xfId="0" applyFill="1" applyBorder="1" applyAlignment="1">
      <alignment/>
    </xf>
    <xf numFmtId="0" fontId="0" fillId="0" borderId="0" xfId="0" applyFill="1" applyBorder="1" applyAlignment="1">
      <alignment/>
    </xf>
    <xf numFmtId="15" fontId="0" fillId="0" borderId="18" xfId="57" applyNumberFormat="1" applyFill="1" applyBorder="1">
      <alignment/>
      <protection/>
    </xf>
    <xf numFmtId="17" fontId="0" fillId="0" borderId="0" xfId="0" applyNumberFormat="1" applyAlignment="1">
      <alignment horizontal="left"/>
    </xf>
    <xf numFmtId="15" fontId="0" fillId="45" borderId="11" xfId="57" applyNumberFormat="1" applyFill="1" applyBorder="1" applyProtection="1">
      <alignment/>
      <protection locked="0"/>
    </xf>
    <xf numFmtId="0" fontId="0" fillId="45" borderId="11" xfId="57" applyFill="1" applyBorder="1" applyProtection="1">
      <alignment/>
      <protection locked="0"/>
    </xf>
    <xf numFmtId="15" fontId="0" fillId="45" borderId="11" xfId="57" applyNumberFormat="1" applyFont="1" applyFill="1" applyBorder="1" applyProtection="1">
      <alignment/>
      <protection locked="0"/>
    </xf>
    <xf numFmtId="0" fontId="0" fillId="42" borderId="11" xfId="57" applyFont="1" applyFill="1" applyBorder="1">
      <alignment/>
      <protection/>
    </xf>
    <xf numFmtId="0" fontId="16" fillId="46" borderId="19" xfId="0" applyFont="1" applyFill="1" applyBorder="1" applyAlignment="1">
      <alignment/>
    </xf>
    <xf numFmtId="0" fontId="16" fillId="46" borderId="20" xfId="0" applyFont="1" applyFill="1" applyBorder="1" applyAlignment="1">
      <alignment/>
    </xf>
    <xf numFmtId="0" fontId="16" fillId="46" borderId="21" xfId="0" applyFont="1" applyFill="1" applyBorder="1" applyAlignment="1">
      <alignment/>
    </xf>
    <xf numFmtId="175" fontId="3" fillId="39" borderId="13" xfId="0" applyNumberFormat="1" applyFont="1" applyFill="1" applyBorder="1" applyAlignment="1">
      <alignment horizontal="left"/>
    </xf>
    <xf numFmtId="16" fontId="9" fillId="0" borderId="0" xfId="0" applyNumberFormat="1" applyFont="1" applyAlignment="1">
      <alignment/>
    </xf>
    <xf numFmtId="1" fontId="18" fillId="0" borderId="0" xfId="57" applyNumberFormat="1" applyFont="1">
      <alignment/>
      <protection/>
    </xf>
    <xf numFmtId="15" fontId="18" fillId="0" borderId="0" xfId="57" applyNumberFormat="1" applyFont="1">
      <alignment/>
      <protection/>
    </xf>
    <xf numFmtId="0" fontId="0" fillId="33" borderId="10" xfId="57" applyFont="1" applyFill="1" applyBorder="1">
      <alignment/>
      <protection/>
    </xf>
    <xf numFmtId="15" fontId="0" fillId="0" borderId="0" xfId="57" applyNumberFormat="1" applyFont="1" applyAlignment="1">
      <alignment horizontal="center"/>
      <protection/>
    </xf>
    <xf numFmtId="1" fontId="0" fillId="0" borderId="0" xfId="57" applyNumberFormat="1" applyFont="1" applyAlignment="1">
      <alignment horizontal="center"/>
      <protection/>
    </xf>
    <xf numFmtId="0" fontId="0" fillId="0" borderId="0" xfId="57" applyFont="1" applyAlignment="1">
      <alignment horizontal="center"/>
      <protection/>
    </xf>
    <xf numFmtId="15" fontId="10" fillId="42" borderId="11" xfId="57" applyNumberFormat="1" applyFont="1" applyFill="1" applyBorder="1" applyProtection="1">
      <alignment/>
      <protection locked="0"/>
    </xf>
    <xf numFmtId="0" fontId="0" fillId="43" borderId="0" xfId="57" applyFont="1" applyFill="1" applyProtection="1">
      <alignment/>
      <protection locked="0"/>
    </xf>
    <xf numFmtId="15" fontId="9" fillId="0" borderId="0" xfId="57" applyNumberFormat="1" applyFont="1">
      <alignment/>
      <protection/>
    </xf>
    <xf numFmtId="15" fontId="0" fillId="0" borderId="0" xfId="57" applyNumberFormat="1" applyFont="1" applyProtection="1">
      <alignment/>
      <protection/>
    </xf>
    <xf numFmtId="15" fontId="0" fillId="0" borderId="0" xfId="57" applyNumberFormat="1" applyFont="1" applyProtection="1" quotePrefix="1">
      <alignment/>
      <protection/>
    </xf>
    <xf numFmtId="15" fontId="15" fillId="42" borderId="0" xfId="0" applyNumberFormat="1" applyFont="1" applyFill="1" applyBorder="1" applyAlignment="1">
      <alignment/>
    </xf>
    <xf numFmtId="0" fontId="14" fillId="42" borderId="0" xfId="57" applyFont="1" applyFill="1" applyBorder="1" applyProtection="1">
      <alignment/>
      <protection locked="0"/>
    </xf>
    <xf numFmtId="15" fontId="0" fillId="43" borderId="0" xfId="57" applyNumberFormat="1" applyFont="1" applyFill="1" applyBorder="1" applyProtection="1">
      <alignment/>
      <protection locked="0"/>
    </xf>
    <xf numFmtId="0" fontId="0" fillId="42" borderId="11" xfId="57" applyFont="1" applyFill="1" applyBorder="1" applyProtection="1">
      <alignment/>
      <protection locked="0"/>
    </xf>
    <xf numFmtId="0" fontId="3" fillId="45" borderId="19" xfId="0" applyFont="1" applyFill="1" applyBorder="1" applyAlignment="1">
      <alignment/>
    </xf>
    <xf numFmtId="0" fontId="3" fillId="45" borderId="21" xfId="0" applyFont="1" applyFill="1" applyBorder="1" applyAlignment="1">
      <alignment/>
    </xf>
    <xf numFmtId="0" fontId="3" fillId="47" borderId="19" xfId="0" applyFont="1" applyFill="1" applyBorder="1" applyAlignment="1">
      <alignment/>
    </xf>
    <xf numFmtId="0" fontId="3" fillId="47" borderId="21" xfId="0" applyFont="1" applyFill="1" applyBorder="1" applyAlignment="1">
      <alignment/>
    </xf>
    <xf numFmtId="0" fontId="3" fillId="41" borderId="19" xfId="0" applyFont="1" applyFill="1" applyBorder="1" applyAlignment="1">
      <alignment/>
    </xf>
    <xf numFmtId="0" fontId="3" fillId="41" borderId="21" xfId="0" applyFont="1" applyFill="1" applyBorder="1" applyAlignment="1">
      <alignment/>
    </xf>
    <xf numFmtId="0" fontId="3" fillId="43" borderId="19" xfId="0" applyFont="1" applyFill="1" applyBorder="1" applyAlignment="1">
      <alignment/>
    </xf>
    <xf numFmtId="0" fontId="3" fillId="43" borderId="21" xfId="0" applyFont="1" applyFill="1" applyBorder="1" applyAlignment="1">
      <alignment/>
    </xf>
    <xf numFmtId="0" fontId="16" fillId="48" borderId="19" xfId="0" applyFont="1" applyFill="1" applyBorder="1" applyAlignment="1">
      <alignment/>
    </xf>
    <xf numFmtId="0" fontId="16" fillId="48" borderId="21" xfId="0" applyFont="1" applyFill="1" applyBorder="1" applyAlignment="1">
      <alignment/>
    </xf>
    <xf numFmtId="0" fontId="3" fillId="42" borderId="19" xfId="0" applyFont="1" applyFill="1" applyBorder="1" applyAlignment="1">
      <alignment/>
    </xf>
    <xf numFmtId="0" fontId="3" fillId="42" borderId="21" xfId="0" applyFont="1" applyFill="1" applyBorder="1" applyAlignment="1">
      <alignment/>
    </xf>
    <xf numFmtId="0" fontId="14" fillId="43" borderId="0" xfId="57" applyFont="1" applyFill="1" applyBorder="1" applyProtection="1">
      <alignment/>
      <protection locked="0"/>
    </xf>
    <xf numFmtId="15" fontId="0" fillId="0" borderId="0" xfId="57" applyNumberFormat="1" applyFont="1">
      <alignment/>
      <protection/>
    </xf>
    <xf numFmtId="49" fontId="4" fillId="0" borderId="19" xfId="57" applyNumberFormat="1" applyFont="1" applyBorder="1">
      <alignment/>
      <protection/>
    </xf>
    <xf numFmtId="49" fontId="4" fillId="0" borderId="20" xfId="57" applyNumberFormat="1" applyFont="1" applyBorder="1">
      <alignment/>
      <protection/>
    </xf>
    <xf numFmtId="15" fontId="4" fillId="0" borderId="20" xfId="57" applyNumberFormat="1" applyFont="1" applyBorder="1">
      <alignment/>
      <protection/>
    </xf>
    <xf numFmtId="0" fontId="4" fillId="0" borderId="20" xfId="57" applyFont="1" applyBorder="1">
      <alignment/>
      <protection/>
    </xf>
    <xf numFmtId="17" fontId="4" fillId="0" borderId="20" xfId="57" applyNumberFormat="1" applyFont="1" applyBorder="1">
      <alignment/>
      <protection/>
    </xf>
    <xf numFmtId="0" fontId="4" fillId="0" borderId="21" xfId="57" applyFont="1" applyBorder="1">
      <alignment/>
      <protection/>
    </xf>
    <xf numFmtId="0" fontId="0" fillId="0" borderId="20" xfId="57" applyBorder="1">
      <alignment/>
      <protection/>
    </xf>
    <xf numFmtId="15" fontId="0" fillId="42" borderId="11" xfId="57" applyNumberFormat="1" applyFont="1" applyFill="1" applyBorder="1" applyProtection="1">
      <alignment/>
      <protection locked="0"/>
    </xf>
    <xf numFmtId="15" fontId="0" fillId="45" borderId="11" xfId="57" applyNumberFormat="1" applyFont="1" applyFill="1" applyBorder="1" applyProtection="1">
      <alignment/>
      <protection locked="0"/>
    </xf>
    <xf numFmtId="15" fontId="0" fillId="49" borderId="11" xfId="57" applyNumberFormat="1" applyFill="1" applyBorder="1" applyProtection="1">
      <alignment/>
      <protection locked="0"/>
    </xf>
    <xf numFmtId="15" fontId="0" fillId="49" borderId="22" xfId="57" applyNumberFormat="1" applyFill="1" applyBorder="1" applyProtection="1">
      <alignment/>
      <protection locked="0"/>
    </xf>
    <xf numFmtId="15" fontId="0" fillId="49" borderId="11" xfId="57" applyNumberFormat="1" applyFont="1" applyFill="1" applyBorder="1" applyProtection="1">
      <alignment/>
      <protection locked="0"/>
    </xf>
    <xf numFmtId="0" fontId="0" fillId="50" borderId="11" xfId="57" applyFont="1" applyFill="1" applyBorder="1" applyProtection="1">
      <alignment/>
      <protection locked="0"/>
    </xf>
    <xf numFmtId="15" fontId="0" fillId="49" borderId="11" xfId="57" applyNumberFormat="1" applyFont="1" applyFill="1" applyBorder="1" applyProtection="1">
      <alignment/>
      <protection locked="0"/>
    </xf>
    <xf numFmtId="15" fontId="0" fillId="51" borderId="11" xfId="57" applyNumberFormat="1" applyFont="1" applyFill="1" applyBorder="1" applyProtection="1">
      <alignment/>
      <protection locked="0"/>
    </xf>
    <xf numFmtId="15" fontId="0" fillId="51" borderId="11" xfId="57" applyNumberFormat="1" applyFont="1" applyFill="1" applyBorder="1" applyProtection="1">
      <alignment/>
      <protection locked="0"/>
    </xf>
    <xf numFmtId="15" fontId="56" fillId="51" borderId="11" xfId="57" applyNumberFormat="1" applyFont="1" applyFill="1" applyBorder="1" applyProtection="1">
      <alignment/>
      <protection locked="0"/>
    </xf>
    <xf numFmtId="15" fontId="0" fillId="51" borderId="11" xfId="57" applyNumberFormat="1" applyFill="1" applyBorder="1" applyProtection="1">
      <alignment/>
      <protection locked="0"/>
    </xf>
    <xf numFmtId="15" fontId="0" fillId="51" borderId="11" xfId="57" applyNumberFormat="1" applyFill="1" applyBorder="1" applyAlignment="1" applyProtection="1">
      <alignment horizontal="center"/>
      <protection locked="0"/>
    </xf>
    <xf numFmtId="15" fontId="0" fillId="52" borderId="11" xfId="57" applyNumberFormat="1" applyFont="1" applyFill="1" applyBorder="1" applyAlignment="1" applyProtection="1">
      <alignment/>
      <protection locked="0"/>
    </xf>
    <xf numFmtId="15" fontId="0" fillId="42" borderId="11" xfId="57" applyNumberFormat="1" applyFont="1" applyFill="1" applyBorder="1" applyProtection="1">
      <alignment/>
      <protection locked="0"/>
    </xf>
    <xf numFmtId="15" fontId="0" fillId="50" borderId="11" xfId="57" applyNumberFormat="1" applyFont="1" applyFill="1" applyBorder="1" applyProtection="1">
      <alignment/>
      <protection locked="0"/>
    </xf>
    <xf numFmtId="15" fontId="0" fillId="52" borderId="11" xfId="57" applyNumberFormat="1" applyFont="1" applyFill="1" applyBorder="1" applyProtection="1">
      <alignment/>
      <protection locked="0"/>
    </xf>
    <xf numFmtId="15" fontId="0" fillId="50" borderId="11" xfId="57" applyNumberFormat="1" applyFill="1" applyBorder="1" applyProtection="1">
      <alignment/>
      <protection locked="0"/>
    </xf>
    <xf numFmtId="15" fontId="9" fillId="50" borderId="11" xfId="57" applyNumberFormat="1" applyFont="1" applyFill="1" applyBorder="1" applyProtection="1">
      <alignment/>
      <protection locked="0"/>
    </xf>
    <xf numFmtId="15" fontId="0" fillId="50" borderId="11" xfId="57" applyNumberFormat="1" applyFont="1" applyFill="1" applyBorder="1" applyProtection="1">
      <alignment/>
      <protection locked="0"/>
    </xf>
    <xf numFmtId="0" fontId="0" fillId="43" borderId="11" xfId="57" applyFont="1" applyFill="1" applyBorder="1" applyProtection="1">
      <alignment/>
      <protection locked="0"/>
    </xf>
    <xf numFmtId="15" fontId="0" fillId="50" borderId="11" xfId="57" applyNumberFormat="1" applyFont="1" applyFill="1" applyBorder="1" applyProtection="1">
      <alignment/>
      <protection locked="0"/>
    </xf>
    <xf numFmtId="0" fontId="0" fillId="50" borderId="11" xfId="57" applyFill="1" applyBorder="1" applyProtection="1">
      <alignment/>
      <protection locked="0"/>
    </xf>
    <xf numFmtId="0" fontId="0" fillId="49" borderId="11" xfId="57" applyFill="1" applyBorder="1" applyProtection="1">
      <alignment/>
      <protection locked="0"/>
    </xf>
    <xf numFmtId="0" fontId="0" fillId="33" borderId="10" xfId="57" applyFont="1" applyFill="1" applyBorder="1">
      <alignment/>
      <protection/>
    </xf>
    <xf numFmtId="0" fontId="13" fillId="53" borderId="0" xfId="0" applyFont="1" applyFill="1" applyBorder="1" applyAlignment="1">
      <alignment horizontal="center"/>
    </xf>
    <xf numFmtId="0" fontId="0" fillId="36" borderId="23" xfId="0" applyFill="1" applyBorder="1" applyAlignment="1">
      <alignment horizontal="center"/>
    </xf>
    <xf numFmtId="0" fontId="0" fillId="36" borderId="24" xfId="0" applyFill="1" applyBorder="1" applyAlignment="1">
      <alignment horizontal="center"/>
    </xf>
    <xf numFmtId="0" fontId="0" fillId="36" borderId="25" xfId="0" applyFill="1" applyBorder="1" applyAlignment="1">
      <alignment horizontal="center"/>
    </xf>
    <xf numFmtId="15" fontId="0" fillId="43" borderId="11" xfId="57" applyNumberFormat="1" applyFont="1" applyFill="1" applyBorder="1" applyProtection="1">
      <alignment/>
      <protection locked="0"/>
    </xf>
    <xf numFmtId="15" fontId="0" fillId="49" borderId="11" xfId="57" applyNumberFormat="1" applyFont="1" applyFill="1" applyBorder="1" applyProtection="1">
      <alignment/>
      <protection locked="0"/>
    </xf>
    <xf numFmtId="15" fontId="0" fillId="51" borderId="11" xfId="57" applyNumberFormat="1" applyFont="1" applyFill="1" applyBorder="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urs04" xfId="57"/>
    <cellStyle name="Note" xfId="58"/>
    <cellStyle name="Output" xfId="59"/>
    <cellStyle name="Percent" xfId="60"/>
    <cellStyle name="Title" xfId="61"/>
    <cellStyle name="Total" xfId="62"/>
    <cellStyle name="Warning Text" xfId="63"/>
  </cellStyles>
  <dxfs count="53">
    <dxf>
      <font>
        <b val="0"/>
        <i val="0"/>
        <color indexed="9"/>
      </font>
      <fill>
        <patternFill patternType="none">
          <bgColor indexed="65"/>
        </patternFill>
      </fill>
      <border>
        <left/>
        <right/>
        <top/>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font>
        <b/>
        <i val="0"/>
        <color indexed="10"/>
      </font>
    </dxf>
    <dxf>
      <font>
        <b/>
        <i/>
        <color indexed="10"/>
      </font>
    </dxf>
    <dxf>
      <font>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val="0"/>
        <color indexed="10"/>
      </font>
    </dxf>
    <dxf>
      <font>
        <b/>
        <i val="0"/>
        <color indexed="10"/>
      </font>
    </dxf>
    <dxf>
      <font>
        <b/>
        <i val="0"/>
        <color indexed="10"/>
      </font>
    </dxf>
    <dxf>
      <font>
        <b/>
        <i val="0"/>
        <color indexed="10"/>
      </font>
    </dxf>
    <dxf>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24</xdr:row>
      <xdr:rowOff>0</xdr:rowOff>
    </xdr:from>
    <xdr:to>
      <xdr:col>2</xdr:col>
      <xdr:colOff>200025</xdr:colOff>
      <xdr:row>25</xdr:row>
      <xdr:rowOff>0</xdr:rowOff>
    </xdr:to>
    <xdr:pic>
      <xdr:nvPicPr>
        <xdr:cNvPr id="1" name="Picture 1"/>
        <xdr:cNvPicPr preferRelativeResize="1">
          <a:picLocks noChangeAspect="1"/>
        </xdr:cNvPicPr>
      </xdr:nvPicPr>
      <xdr:blipFill>
        <a:blip r:embed="rId1"/>
        <a:stretch>
          <a:fillRect/>
        </a:stretch>
      </xdr:blipFill>
      <xdr:spPr>
        <a:xfrm>
          <a:off x="1162050" y="4019550"/>
          <a:ext cx="161925" cy="161925"/>
        </a:xfrm>
        <a:prstGeom prst="rect">
          <a:avLst/>
        </a:prstGeom>
        <a:noFill/>
        <a:ln w="9525" cmpd="sng">
          <a:noFill/>
        </a:ln>
      </xdr:spPr>
    </xdr:pic>
    <xdr:clientData/>
  </xdr:twoCellAnchor>
  <xdr:twoCellAnchor editAs="oneCell">
    <xdr:from>
      <xdr:col>2</xdr:col>
      <xdr:colOff>28575</xdr:colOff>
      <xdr:row>16</xdr:row>
      <xdr:rowOff>0</xdr:rowOff>
    </xdr:from>
    <xdr:to>
      <xdr:col>2</xdr:col>
      <xdr:colOff>209550</xdr:colOff>
      <xdr:row>17</xdr:row>
      <xdr:rowOff>19050</xdr:rowOff>
    </xdr:to>
    <xdr:pic>
      <xdr:nvPicPr>
        <xdr:cNvPr id="2" name="Picture 2"/>
        <xdr:cNvPicPr preferRelativeResize="1">
          <a:picLocks noChangeAspect="1"/>
        </xdr:cNvPicPr>
      </xdr:nvPicPr>
      <xdr:blipFill>
        <a:blip r:embed="rId2"/>
        <a:stretch>
          <a:fillRect/>
        </a:stretch>
      </xdr:blipFill>
      <xdr:spPr>
        <a:xfrm>
          <a:off x="1152525" y="2724150"/>
          <a:ext cx="180975" cy="180975"/>
        </a:xfrm>
        <a:prstGeom prst="rect">
          <a:avLst/>
        </a:prstGeom>
        <a:noFill/>
        <a:ln w="9525" cmpd="sng">
          <a:noFill/>
        </a:ln>
      </xdr:spPr>
    </xdr:pic>
    <xdr:clientData/>
  </xdr:twoCellAnchor>
  <xdr:twoCellAnchor editAs="oneCell">
    <xdr:from>
      <xdr:col>2</xdr:col>
      <xdr:colOff>47625</xdr:colOff>
      <xdr:row>7</xdr:row>
      <xdr:rowOff>142875</xdr:rowOff>
    </xdr:from>
    <xdr:to>
      <xdr:col>2</xdr:col>
      <xdr:colOff>200025</xdr:colOff>
      <xdr:row>8</xdr:row>
      <xdr:rowOff>142875</xdr:rowOff>
    </xdr:to>
    <xdr:pic>
      <xdr:nvPicPr>
        <xdr:cNvPr id="3" name="Picture 3"/>
        <xdr:cNvPicPr preferRelativeResize="1">
          <a:picLocks noChangeAspect="1"/>
        </xdr:cNvPicPr>
      </xdr:nvPicPr>
      <xdr:blipFill>
        <a:blip r:embed="rId3"/>
        <a:stretch>
          <a:fillRect/>
        </a:stretch>
      </xdr:blipFill>
      <xdr:spPr>
        <a:xfrm>
          <a:off x="1171575" y="1409700"/>
          <a:ext cx="152400" cy="161925"/>
        </a:xfrm>
        <a:prstGeom prst="rect">
          <a:avLst/>
        </a:prstGeom>
        <a:noFill/>
        <a:ln w="9525" cmpd="sng">
          <a:noFill/>
        </a:ln>
      </xdr:spPr>
    </xdr:pic>
    <xdr:clientData/>
  </xdr:twoCellAnchor>
  <xdr:twoCellAnchor editAs="oneCell">
    <xdr:from>
      <xdr:col>2</xdr:col>
      <xdr:colOff>47625</xdr:colOff>
      <xdr:row>31</xdr:row>
      <xdr:rowOff>0</xdr:rowOff>
    </xdr:from>
    <xdr:to>
      <xdr:col>2</xdr:col>
      <xdr:colOff>219075</xdr:colOff>
      <xdr:row>32</xdr:row>
      <xdr:rowOff>0</xdr:rowOff>
    </xdr:to>
    <xdr:pic>
      <xdr:nvPicPr>
        <xdr:cNvPr id="4" name="Picture 4"/>
        <xdr:cNvPicPr preferRelativeResize="1">
          <a:picLocks noChangeAspect="1"/>
        </xdr:cNvPicPr>
      </xdr:nvPicPr>
      <xdr:blipFill>
        <a:blip r:embed="rId4"/>
        <a:stretch>
          <a:fillRect/>
        </a:stretch>
      </xdr:blipFill>
      <xdr:spPr>
        <a:xfrm>
          <a:off x="1171575" y="5153025"/>
          <a:ext cx="171450"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29</xdr:row>
      <xdr:rowOff>57150</xdr:rowOff>
    </xdr:from>
    <xdr:to>
      <xdr:col>2</xdr:col>
      <xdr:colOff>142875</xdr:colOff>
      <xdr:row>30</xdr:row>
      <xdr:rowOff>57150</xdr:rowOff>
    </xdr:to>
    <xdr:pic>
      <xdr:nvPicPr>
        <xdr:cNvPr id="1" name="Picture 5"/>
        <xdr:cNvPicPr preferRelativeResize="1">
          <a:picLocks noChangeAspect="1"/>
        </xdr:cNvPicPr>
      </xdr:nvPicPr>
      <xdr:blipFill>
        <a:blip r:embed="rId1"/>
        <a:stretch>
          <a:fillRect/>
        </a:stretch>
      </xdr:blipFill>
      <xdr:spPr>
        <a:xfrm>
          <a:off x="1104900" y="4886325"/>
          <a:ext cx="161925" cy="161925"/>
        </a:xfrm>
        <a:prstGeom prst="rect">
          <a:avLst/>
        </a:prstGeom>
        <a:noFill/>
        <a:ln w="9525" cmpd="sng">
          <a:noFill/>
        </a:ln>
      </xdr:spPr>
    </xdr:pic>
    <xdr:clientData/>
  </xdr:twoCellAnchor>
  <xdr:twoCellAnchor editAs="oneCell">
    <xdr:from>
      <xdr:col>1</xdr:col>
      <xdr:colOff>762000</xdr:colOff>
      <xdr:row>7</xdr:row>
      <xdr:rowOff>95250</xdr:rowOff>
    </xdr:from>
    <xdr:to>
      <xdr:col>2</xdr:col>
      <xdr:colOff>152400</xdr:colOff>
      <xdr:row>8</xdr:row>
      <xdr:rowOff>114300</xdr:rowOff>
    </xdr:to>
    <xdr:pic>
      <xdr:nvPicPr>
        <xdr:cNvPr id="2" name="Picture 6"/>
        <xdr:cNvPicPr preferRelativeResize="1">
          <a:picLocks noChangeAspect="1"/>
        </xdr:cNvPicPr>
      </xdr:nvPicPr>
      <xdr:blipFill>
        <a:blip r:embed="rId2"/>
        <a:stretch>
          <a:fillRect/>
        </a:stretch>
      </xdr:blipFill>
      <xdr:spPr>
        <a:xfrm>
          <a:off x="1095375" y="1362075"/>
          <a:ext cx="180975" cy="180975"/>
        </a:xfrm>
        <a:prstGeom prst="rect">
          <a:avLst/>
        </a:prstGeom>
        <a:noFill/>
        <a:ln w="9525" cmpd="sng">
          <a:noFill/>
        </a:ln>
      </xdr:spPr>
    </xdr:pic>
    <xdr:clientData/>
  </xdr:twoCellAnchor>
  <xdr:twoCellAnchor editAs="oneCell">
    <xdr:from>
      <xdr:col>1</xdr:col>
      <xdr:colOff>790575</xdr:colOff>
      <xdr:row>14</xdr:row>
      <xdr:rowOff>28575</xdr:rowOff>
    </xdr:from>
    <xdr:to>
      <xdr:col>2</xdr:col>
      <xdr:colOff>152400</xdr:colOff>
      <xdr:row>15</xdr:row>
      <xdr:rowOff>28575</xdr:rowOff>
    </xdr:to>
    <xdr:pic>
      <xdr:nvPicPr>
        <xdr:cNvPr id="3" name="Picture 7"/>
        <xdr:cNvPicPr preferRelativeResize="1">
          <a:picLocks noChangeAspect="1"/>
        </xdr:cNvPicPr>
      </xdr:nvPicPr>
      <xdr:blipFill>
        <a:blip r:embed="rId3"/>
        <a:stretch>
          <a:fillRect/>
        </a:stretch>
      </xdr:blipFill>
      <xdr:spPr>
        <a:xfrm>
          <a:off x="1123950" y="2428875"/>
          <a:ext cx="152400" cy="161925"/>
        </a:xfrm>
        <a:prstGeom prst="rect">
          <a:avLst/>
        </a:prstGeom>
        <a:noFill/>
        <a:ln w="9525" cmpd="sng">
          <a:noFill/>
        </a:ln>
      </xdr:spPr>
    </xdr:pic>
    <xdr:clientData/>
  </xdr:twoCellAnchor>
  <xdr:twoCellAnchor editAs="oneCell">
    <xdr:from>
      <xdr:col>1</xdr:col>
      <xdr:colOff>771525</xdr:colOff>
      <xdr:row>22</xdr:row>
      <xdr:rowOff>123825</xdr:rowOff>
    </xdr:from>
    <xdr:to>
      <xdr:col>2</xdr:col>
      <xdr:colOff>152400</xdr:colOff>
      <xdr:row>23</xdr:row>
      <xdr:rowOff>123825</xdr:rowOff>
    </xdr:to>
    <xdr:pic>
      <xdr:nvPicPr>
        <xdr:cNvPr id="4" name="Picture 8"/>
        <xdr:cNvPicPr preferRelativeResize="1">
          <a:picLocks noChangeAspect="1"/>
        </xdr:cNvPicPr>
      </xdr:nvPicPr>
      <xdr:blipFill>
        <a:blip r:embed="rId4"/>
        <a:stretch>
          <a:fillRect/>
        </a:stretch>
      </xdr:blipFill>
      <xdr:spPr>
        <a:xfrm>
          <a:off x="1104900" y="3819525"/>
          <a:ext cx="171450" cy="161925"/>
        </a:xfrm>
        <a:prstGeom prst="rect">
          <a:avLst/>
        </a:prstGeom>
        <a:noFill/>
        <a:ln w="9525" cmpd="sng">
          <a:noFill/>
        </a:ln>
      </xdr:spPr>
    </xdr:pic>
    <xdr:clientData/>
  </xdr:twoCellAnchor>
  <xdr:twoCellAnchor editAs="oneCell">
    <xdr:from>
      <xdr:col>1</xdr:col>
      <xdr:colOff>790575</xdr:colOff>
      <xdr:row>2</xdr:row>
      <xdr:rowOff>0</xdr:rowOff>
    </xdr:from>
    <xdr:to>
      <xdr:col>2</xdr:col>
      <xdr:colOff>161925</xdr:colOff>
      <xdr:row>3</xdr:row>
      <xdr:rowOff>0</xdr:rowOff>
    </xdr:to>
    <xdr:pic>
      <xdr:nvPicPr>
        <xdr:cNvPr id="5" name="Picture 5"/>
        <xdr:cNvPicPr preferRelativeResize="1">
          <a:picLocks noChangeAspect="1"/>
        </xdr:cNvPicPr>
      </xdr:nvPicPr>
      <xdr:blipFill>
        <a:blip r:embed="rId1"/>
        <a:stretch>
          <a:fillRect/>
        </a:stretch>
      </xdr:blipFill>
      <xdr:spPr>
        <a:xfrm>
          <a:off x="1123950" y="457200"/>
          <a:ext cx="161925" cy="161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27</xdr:row>
      <xdr:rowOff>95250</xdr:rowOff>
    </xdr:from>
    <xdr:to>
      <xdr:col>2</xdr:col>
      <xdr:colOff>161925</xdr:colOff>
      <xdr:row>28</xdr:row>
      <xdr:rowOff>95250</xdr:rowOff>
    </xdr:to>
    <xdr:pic>
      <xdr:nvPicPr>
        <xdr:cNvPr id="1" name="Picture 5"/>
        <xdr:cNvPicPr preferRelativeResize="1">
          <a:picLocks noChangeAspect="1"/>
        </xdr:cNvPicPr>
      </xdr:nvPicPr>
      <xdr:blipFill>
        <a:blip r:embed="rId1"/>
        <a:stretch>
          <a:fillRect/>
        </a:stretch>
      </xdr:blipFill>
      <xdr:spPr>
        <a:xfrm>
          <a:off x="1123950" y="4600575"/>
          <a:ext cx="161925" cy="161925"/>
        </a:xfrm>
        <a:prstGeom prst="rect">
          <a:avLst/>
        </a:prstGeom>
        <a:noFill/>
        <a:ln w="9525" cmpd="sng">
          <a:noFill/>
        </a:ln>
      </xdr:spPr>
    </xdr:pic>
    <xdr:clientData/>
  </xdr:twoCellAnchor>
  <xdr:twoCellAnchor editAs="oneCell">
    <xdr:from>
      <xdr:col>1</xdr:col>
      <xdr:colOff>762000</xdr:colOff>
      <xdr:row>6</xdr:row>
      <xdr:rowOff>95250</xdr:rowOff>
    </xdr:from>
    <xdr:to>
      <xdr:col>2</xdr:col>
      <xdr:colOff>152400</xdr:colOff>
      <xdr:row>7</xdr:row>
      <xdr:rowOff>114300</xdr:rowOff>
    </xdr:to>
    <xdr:pic>
      <xdr:nvPicPr>
        <xdr:cNvPr id="2" name="Picture 6"/>
        <xdr:cNvPicPr preferRelativeResize="1">
          <a:picLocks noChangeAspect="1"/>
        </xdr:cNvPicPr>
      </xdr:nvPicPr>
      <xdr:blipFill>
        <a:blip r:embed="rId2"/>
        <a:stretch>
          <a:fillRect/>
        </a:stretch>
      </xdr:blipFill>
      <xdr:spPr>
        <a:xfrm>
          <a:off x="1095375" y="1200150"/>
          <a:ext cx="180975" cy="180975"/>
        </a:xfrm>
        <a:prstGeom prst="rect">
          <a:avLst/>
        </a:prstGeom>
        <a:noFill/>
        <a:ln w="9525" cmpd="sng">
          <a:noFill/>
        </a:ln>
      </xdr:spPr>
    </xdr:pic>
    <xdr:clientData/>
  </xdr:twoCellAnchor>
  <xdr:twoCellAnchor editAs="oneCell">
    <xdr:from>
      <xdr:col>1</xdr:col>
      <xdr:colOff>781050</xdr:colOff>
      <xdr:row>13</xdr:row>
      <xdr:rowOff>38100</xdr:rowOff>
    </xdr:from>
    <xdr:to>
      <xdr:col>2</xdr:col>
      <xdr:colOff>142875</xdr:colOff>
      <xdr:row>14</xdr:row>
      <xdr:rowOff>38100</xdr:rowOff>
    </xdr:to>
    <xdr:pic>
      <xdr:nvPicPr>
        <xdr:cNvPr id="3" name="Picture 7"/>
        <xdr:cNvPicPr preferRelativeResize="1">
          <a:picLocks noChangeAspect="1"/>
        </xdr:cNvPicPr>
      </xdr:nvPicPr>
      <xdr:blipFill>
        <a:blip r:embed="rId3"/>
        <a:stretch>
          <a:fillRect/>
        </a:stretch>
      </xdr:blipFill>
      <xdr:spPr>
        <a:xfrm>
          <a:off x="1114425" y="2276475"/>
          <a:ext cx="152400" cy="161925"/>
        </a:xfrm>
        <a:prstGeom prst="rect">
          <a:avLst/>
        </a:prstGeom>
        <a:noFill/>
        <a:ln w="9525" cmpd="sng">
          <a:noFill/>
        </a:ln>
      </xdr:spPr>
    </xdr:pic>
    <xdr:clientData/>
  </xdr:twoCellAnchor>
  <xdr:twoCellAnchor editAs="oneCell">
    <xdr:from>
      <xdr:col>1</xdr:col>
      <xdr:colOff>771525</xdr:colOff>
      <xdr:row>20</xdr:row>
      <xdr:rowOff>142875</xdr:rowOff>
    </xdr:from>
    <xdr:to>
      <xdr:col>2</xdr:col>
      <xdr:colOff>152400</xdr:colOff>
      <xdr:row>21</xdr:row>
      <xdr:rowOff>142875</xdr:rowOff>
    </xdr:to>
    <xdr:pic>
      <xdr:nvPicPr>
        <xdr:cNvPr id="4" name="Picture 8"/>
        <xdr:cNvPicPr preferRelativeResize="1">
          <a:picLocks noChangeAspect="1"/>
        </xdr:cNvPicPr>
      </xdr:nvPicPr>
      <xdr:blipFill>
        <a:blip r:embed="rId4"/>
        <a:stretch>
          <a:fillRect/>
        </a:stretch>
      </xdr:blipFill>
      <xdr:spPr>
        <a:xfrm>
          <a:off x="1104900" y="3514725"/>
          <a:ext cx="171450" cy="161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27</xdr:row>
      <xdr:rowOff>85725</xdr:rowOff>
    </xdr:from>
    <xdr:to>
      <xdr:col>2</xdr:col>
      <xdr:colOff>133350</xdr:colOff>
      <xdr:row>28</xdr:row>
      <xdr:rowOff>85725</xdr:rowOff>
    </xdr:to>
    <xdr:pic>
      <xdr:nvPicPr>
        <xdr:cNvPr id="1" name="Picture 6"/>
        <xdr:cNvPicPr preferRelativeResize="1">
          <a:picLocks noChangeAspect="1"/>
        </xdr:cNvPicPr>
      </xdr:nvPicPr>
      <xdr:blipFill>
        <a:blip r:embed="rId1"/>
        <a:stretch>
          <a:fillRect/>
        </a:stretch>
      </xdr:blipFill>
      <xdr:spPr>
        <a:xfrm>
          <a:off x="1095375" y="4591050"/>
          <a:ext cx="161925" cy="161925"/>
        </a:xfrm>
        <a:prstGeom prst="rect">
          <a:avLst/>
        </a:prstGeom>
        <a:noFill/>
        <a:ln w="9525" cmpd="sng">
          <a:noFill/>
        </a:ln>
      </xdr:spPr>
    </xdr:pic>
    <xdr:clientData/>
  </xdr:twoCellAnchor>
  <xdr:twoCellAnchor editAs="oneCell">
    <xdr:from>
      <xdr:col>1</xdr:col>
      <xdr:colOff>771525</xdr:colOff>
      <xdr:row>5</xdr:row>
      <xdr:rowOff>123825</xdr:rowOff>
    </xdr:from>
    <xdr:to>
      <xdr:col>2</xdr:col>
      <xdr:colOff>161925</xdr:colOff>
      <xdr:row>6</xdr:row>
      <xdr:rowOff>133350</xdr:rowOff>
    </xdr:to>
    <xdr:pic>
      <xdr:nvPicPr>
        <xdr:cNvPr id="2" name="Picture 7"/>
        <xdr:cNvPicPr preferRelativeResize="1">
          <a:picLocks noChangeAspect="1"/>
        </xdr:cNvPicPr>
      </xdr:nvPicPr>
      <xdr:blipFill>
        <a:blip r:embed="rId2"/>
        <a:stretch>
          <a:fillRect/>
        </a:stretch>
      </xdr:blipFill>
      <xdr:spPr>
        <a:xfrm>
          <a:off x="1104900" y="1066800"/>
          <a:ext cx="180975" cy="171450"/>
        </a:xfrm>
        <a:prstGeom prst="rect">
          <a:avLst/>
        </a:prstGeom>
        <a:noFill/>
        <a:ln w="9525" cmpd="sng">
          <a:noFill/>
        </a:ln>
      </xdr:spPr>
    </xdr:pic>
    <xdr:clientData/>
  </xdr:twoCellAnchor>
  <xdr:twoCellAnchor editAs="oneCell">
    <xdr:from>
      <xdr:col>1</xdr:col>
      <xdr:colOff>771525</xdr:colOff>
      <xdr:row>13</xdr:row>
      <xdr:rowOff>47625</xdr:rowOff>
    </xdr:from>
    <xdr:to>
      <xdr:col>2</xdr:col>
      <xdr:colOff>133350</xdr:colOff>
      <xdr:row>14</xdr:row>
      <xdr:rowOff>47625</xdr:rowOff>
    </xdr:to>
    <xdr:pic>
      <xdr:nvPicPr>
        <xdr:cNvPr id="3" name="Picture 8"/>
        <xdr:cNvPicPr preferRelativeResize="1">
          <a:picLocks noChangeAspect="1"/>
        </xdr:cNvPicPr>
      </xdr:nvPicPr>
      <xdr:blipFill>
        <a:blip r:embed="rId3"/>
        <a:stretch>
          <a:fillRect/>
        </a:stretch>
      </xdr:blipFill>
      <xdr:spPr>
        <a:xfrm>
          <a:off x="1104900" y="2286000"/>
          <a:ext cx="152400" cy="161925"/>
        </a:xfrm>
        <a:prstGeom prst="rect">
          <a:avLst/>
        </a:prstGeom>
        <a:noFill/>
        <a:ln w="9525" cmpd="sng">
          <a:noFill/>
        </a:ln>
      </xdr:spPr>
    </xdr:pic>
    <xdr:clientData/>
  </xdr:twoCellAnchor>
  <xdr:twoCellAnchor editAs="oneCell">
    <xdr:from>
      <xdr:col>1</xdr:col>
      <xdr:colOff>781050</xdr:colOff>
      <xdr:row>20</xdr:row>
      <xdr:rowOff>123825</xdr:rowOff>
    </xdr:from>
    <xdr:to>
      <xdr:col>2</xdr:col>
      <xdr:colOff>161925</xdr:colOff>
      <xdr:row>21</xdr:row>
      <xdr:rowOff>123825</xdr:rowOff>
    </xdr:to>
    <xdr:pic>
      <xdr:nvPicPr>
        <xdr:cNvPr id="4" name="Picture 9"/>
        <xdr:cNvPicPr preferRelativeResize="1">
          <a:picLocks noChangeAspect="1"/>
        </xdr:cNvPicPr>
      </xdr:nvPicPr>
      <xdr:blipFill>
        <a:blip r:embed="rId4"/>
        <a:stretch>
          <a:fillRect/>
        </a:stretch>
      </xdr:blipFill>
      <xdr:spPr>
        <a:xfrm>
          <a:off x="1114425" y="3495675"/>
          <a:ext cx="171450"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57150</xdr:rowOff>
    </xdr:from>
    <xdr:ext cx="6115050" cy="9772650"/>
    <xdr:sp>
      <xdr:nvSpPr>
        <xdr:cNvPr id="1" name="Text Box 3"/>
        <xdr:cNvSpPr txBox="1">
          <a:spLocks noChangeArrowheads="1"/>
        </xdr:cNvSpPr>
      </xdr:nvSpPr>
      <xdr:spPr>
        <a:xfrm>
          <a:off x="95250" y="57150"/>
          <a:ext cx="6115050" cy="97726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Computus Digitorum -</a:t>
          </a:r>
          <a:r>
            <a:rPr lang="en-US" cap="none" sz="1000" b="1" i="0" u="none" baseline="0">
              <a:solidFill>
                <a:srgbClr val="000000"/>
              </a:solidFill>
              <a:latin typeface="Arial"/>
              <a:ea typeface="Arial"/>
              <a:cs typeface="Arial"/>
            </a:rPr>
            <a:t> Modern Medieval Liturgical Calendar v1.1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calendar is a project that I have produced annually for my personal use since 1999. The epiphany that makes the 2004/5 version special was the discovery of a VBA routine to calculate the times of sunrise and sunset. Prior to this, to figure the Canonical hours, I had to enter each sunrise and set time individually - a royal pain, as you might imagine. After entering the automated sunrise and set routine, I decided to play with more automations. In just over 24 hours, the calendar went from almost total manual entry to almost all calculated. All the user needs to do is enter the latitude, longitude, and time zone.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Updated Jan 07 for new Daylight Saving Time dates in the US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What's calculated automatically: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Date (column A)
</a:t>
          </a:r>
          <a:r>
            <a:rPr lang="en-US" cap="none" sz="1000" b="0" i="0" u="none" baseline="0">
              <a:solidFill>
                <a:srgbClr val="000000"/>
              </a:solidFill>
              <a:latin typeface="Arial"/>
              <a:ea typeface="Arial"/>
              <a:cs typeface="Arial"/>
            </a:rPr>
            <a:t>   2. The day of the week (column B)
</a:t>
          </a:r>
          <a:r>
            <a:rPr lang="en-US" cap="none" sz="1000" b="0" i="0" u="none" baseline="0">
              <a:solidFill>
                <a:srgbClr val="000000"/>
              </a:solidFill>
              <a:latin typeface="Arial"/>
              <a:ea typeface="Arial"/>
              <a:cs typeface="Arial"/>
            </a:rPr>
            <a:t>   3. The Golden Number (column D), used to determine Paschal New Moon
</a:t>
          </a:r>
          <a:r>
            <a:rPr lang="en-US" cap="none" sz="1000" b="0" i="0" u="none" baseline="0">
              <a:solidFill>
                <a:srgbClr val="000000"/>
              </a:solidFill>
              <a:latin typeface="Arial"/>
              <a:ea typeface="Arial"/>
              <a:cs typeface="Arial"/>
            </a:rPr>
            <a:t>   4. The Dominical Letter (column E, Sunday highlighted in red)
</a:t>
          </a:r>
          <a:r>
            <a:rPr lang="en-US" cap="none" sz="1000" b="0" i="0" u="none" baseline="0">
              <a:solidFill>
                <a:srgbClr val="000000"/>
              </a:solidFill>
              <a:latin typeface="Arial"/>
              <a:ea typeface="Arial"/>
              <a:cs typeface="Arial"/>
            </a:rPr>
            <a:t>   5. Roman-style date (column F)
</a:t>
          </a:r>
          <a:r>
            <a:rPr lang="en-US" cap="none" sz="1000" b="0" i="0" u="none" baseline="0">
              <a:solidFill>
                <a:srgbClr val="000000"/>
              </a:solidFill>
              <a:latin typeface="Arial"/>
              <a:ea typeface="Arial"/>
              <a:cs typeface="Arial"/>
            </a:rPr>
            <a:t>   6. Times for stylized Canonical Hours (columns H - O)
</a:t>
          </a:r>
          <a:r>
            <a:rPr lang="en-US" cap="none" sz="1000" b="0" i="0" u="none" baseline="0">
              <a:solidFill>
                <a:srgbClr val="000000"/>
              </a:solidFill>
              <a:latin typeface="Arial"/>
              <a:ea typeface="Arial"/>
              <a:cs typeface="Arial"/>
            </a:rPr>
            <a:t>   7. Sunrise, sunset, length of night and day, length of unequal hours (columns P - U)
</a:t>
          </a:r>
          <a:r>
            <a:rPr lang="en-US" cap="none" sz="1000" b="0" i="0" u="none" baseline="0">
              <a:solidFill>
                <a:srgbClr val="000000"/>
              </a:solidFill>
              <a:latin typeface="Arial"/>
              <a:ea typeface="Arial"/>
              <a:cs typeface="Arial"/>
            </a:rPr>
            <a:t>   8. Properly adjusts for US Daylight Saving Time (2007 rules)
</a:t>
          </a:r>
          <a:r>
            <a:rPr lang="en-US" cap="none" sz="1000" b="0" i="0" u="none" baseline="0">
              <a:solidFill>
                <a:srgbClr val="000000"/>
              </a:solidFill>
              <a:latin typeface="Arial"/>
              <a:ea typeface="Arial"/>
              <a:cs typeface="Arial"/>
            </a:rPr>
            <a:t>   9. Leap years are handled appropriately
</a:t>
          </a:r>
          <a:r>
            <a:rPr lang="en-US" cap="none" sz="1000" b="0" i="0" u="none" baseline="0">
              <a:solidFill>
                <a:srgbClr val="000000"/>
              </a:solidFill>
              <a:latin typeface="Arial"/>
              <a:ea typeface="Arial"/>
              <a:cs typeface="Arial"/>
            </a:rPr>
            <a:t> 10. The date of the Paschal New Moon (red, bold, italic Roman numeral in column D in March or April)
</a:t>
          </a:r>
          <a:r>
            <a:rPr lang="en-US" cap="none" sz="1000" b="0" i="0" u="none" baseline="0">
              <a:solidFill>
                <a:srgbClr val="000000"/>
              </a:solidFill>
              <a:latin typeface="Arial"/>
              <a:ea typeface="Arial"/>
              <a:cs typeface="Arial"/>
            </a:rPr>
            <a:t> 11. Date of the Paschal Full Moon (red box in column D in March or April, 13 days after Paschal New Moon).
</a:t>
          </a:r>
          <a:r>
            <a:rPr lang="en-US" cap="none" sz="1000" b="0" i="0" u="none" baseline="0">
              <a:solidFill>
                <a:srgbClr val="000000"/>
              </a:solidFill>
              <a:latin typeface="Arial"/>
              <a:ea typeface="Arial"/>
              <a:cs typeface="Arial"/>
            </a:rPr>
            <a:t>      The Sunday following this date is Easter.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Calculated, but not automatically placed into calendar: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Date of Easter (Location and Movable Feasts sheets)
</a:t>
          </a:r>
          <a:r>
            <a:rPr lang="en-US" cap="none" sz="1000" b="0" i="0" u="none" baseline="0">
              <a:solidFill>
                <a:srgbClr val="000000"/>
              </a:solidFill>
              <a:latin typeface="Arial"/>
              <a:ea typeface="Arial"/>
              <a:cs typeface="Arial"/>
            </a:rPr>
            <a:t>   2. Dates of other movable feasts based on date of Easter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Things that still have to be entered manually: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Saint's days, feasts, and liturgical colors in column G
</a:t>
          </a:r>
          <a:r>
            <a:rPr lang="en-US" cap="none" sz="1000" b="0" i="0" u="none" baseline="0">
              <a:solidFill>
                <a:srgbClr val="000000"/>
              </a:solidFill>
              <a:latin typeface="Arial"/>
              <a:ea typeface="Arial"/>
              <a:cs typeface="Arial"/>
            </a:rPr>
            <a:t>   2. Lunar phases (column 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fill in the Calendar:
</a:t>
          </a:r>
          <a:r>
            <a:rPr lang="en-US" cap="none" sz="1000" b="1" i="0" u="none" baseline="0">
              <a:solidFill>
                <a:srgbClr val="000000"/>
              </a:solidFill>
              <a:latin typeface="Arial"/>
              <a:ea typeface="Arial"/>
              <a:cs typeface="Arial"/>
            </a:rPr>
            <a:t>  (Note: Always work on a copy of the generic Computus Digitorum.xls! You'll thank me next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Set the correct year in the location tab.
</a:t>
          </a:r>
          <a:r>
            <a:rPr lang="en-US" cap="none" sz="1000" b="0" i="0" u="none" baseline="0">
              <a:solidFill>
                <a:srgbClr val="000000"/>
              </a:solidFill>
              <a:latin typeface="Arial"/>
              <a:ea typeface="Arial"/>
              <a:cs typeface="Arial"/>
            </a:rPr>
            <a:t>  2. Move any of the fixed feasts that fall on Sunday to the following Monday (except Christmas). Use 
</a:t>
          </a:r>
          <a:r>
            <a:rPr lang="en-US" cap="none" sz="1000" b="0" i="0" u="none" baseline="0">
              <a:solidFill>
                <a:srgbClr val="000000"/>
              </a:solidFill>
              <a:latin typeface="Arial"/>
              <a:ea typeface="Arial"/>
              <a:cs typeface="Arial"/>
            </a:rPr>
            <a:t>     Copy/Paste rather than Cut/Paste (messes with formatting). Consider marking feast as “transferred”.
</a:t>
          </a:r>
          <a:r>
            <a:rPr lang="en-US" cap="none" sz="1000" b="0" i="0" u="none" baseline="0">
              <a:solidFill>
                <a:srgbClr val="000000"/>
              </a:solidFill>
              <a:latin typeface="Arial"/>
              <a:ea typeface="Arial"/>
              <a:cs typeface="Arial"/>
            </a:rPr>
            <a:t>  3. Put in the movable feasts, moving any fixed feasts one day later if necessary (Don't move feasts for 
</a:t>
          </a:r>
          <a:r>
            <a:rPr lang="en-US" cap="none" sz="1000" b="0" i="0" u="none" baseline="0">
              <a:solidFill>
                <a:srgbClr val="000000"/>
              </a:solidFill>
              <a:latin typeface="Arial"/>
              <a:ea typeface="Arial"/>
              <a:cs typeface="Arial"/>
            </a:rPr>
            <a:t>      Ember or Rogation days).
</a:t>
          </a:r>
          <a:r>
            <a:rPr lang="en-US" cap="none" sz="1000" b="0" i="0" u="none" baseline="0">
              <a:solidFill>
                <a:srgbClr val="000000"/>
              </a:solidFill>
              <a:latin typeface="Arial"/>
              <a:ea typeface="Arial"/>
              <a:cs typeface="Arial"/>
            </a:rPr>
            <a:t>  4. Label the Sundays in January prior to Epiphany as Sundays after Christmas.
</a:t>
          </a:r>
          <a:r>
            <a:rPr lang="en-US" cap="none" sz="1000" b="0" i="0" u="none" baseline="0">
              <a:solidFill>
                <a:srgbClr val="000000"/>
              </a:solidFill>
              <a:latin typeface="Arial"/>
              <a:ea typeface="Arial"/>
              <a:cs typeface="Arial"/>
            </a:rPr>
            <a:t>  5. Common days prior to Epiphany are white.
</a:t>
          </a:r>
          <a:r>
            <a:rPr lang="en-US" cap="none" sz="1000" b="0" i="0" u="none" baseline="0">
              <a:solidFill>
                <a:srgbClr val="000000"/>
              </a:solidFill>
              <a:latin typeface="Arial"/>
              <a:ea typeface="Arial"/>
              <a:cs typeface="Arial"/>
            </a:rPr>
            <a:t>  6. Common days from Epiphany to Ash Wednesday are green.
</a:t>
          </a:r>
          <a:r>
            <a:rPr lang="en-US" cap="none" sz="1000" b="0" i="0" u="none" baseline="0">
              <a:solidFill>
                <a:srgbClr val="000000"/>
              </a:solidFill>
              <a:latin typeface="Arial"/>
              <a:ea typeface="Arial"/>
              <a:cs typeface="Arial"/>
            </a:rPr>
            <a:t>  7. The first Sunday after Epiphany is the Baptism of Christ (white).
</a:t>
          </a:r>
          <a:r>
            <a:rPr lang="en-US" cap="none" sz="1000" b="0" i="0" u="none" baseline="0">
              <a:solidFill>
                <a:srgbClr val="000000"/>
              </a:solidFill>
              <a:latin typeface="Arial"/>
              <a:ea typeface="Arial"/>
              <a:cs typeface="Arial"/>
            </a:rPr>
            <a:t>  8. Remaining Sundays prior to Ash Wednesday are “Nth Sunday after Epiphany”. The Sunday just prior to 
</a:t>
          </a:r>
          <a:r>
            <a:rPr lang="en-US" cap="none" sz="1000" b="0" i="0" u="none" baseline="0">
              <a:solidFill>
                <a:srgbClr val="000000"/>
              </a:solidFill>
              <a:latin typeface="Arial"/>
              <a:ea typeface="Arial"/>
              <a:cs typeface="Arial"/>
            </a:rPr>
            <a:t>      Ash Wednesday is “Last Sunday after Epiphany”. All are green.  
</a:t>
          </a:r>
          <a:r>
            <a:rPr lang="en-US" cap="none" sz="1000" b="0" i="0" u="none" baseline="0">
              <a:solidFill>
                <a:srgbClr val="000000"/>
              </a:solidFill>
              <a:latin typeface="Arial"/>
              <a:ea typeface="Arial"/>
              <a:cs typeface="Arial"/>
            </a:rPr>
            <a:t>  9. Starting with Ash Wednesday, common days are purple
</a:t>
          </a:r>
          <a:r>
            <a:rPr lang="en-US" cap="none" sz="1000" b="0" i="0" u="none" baseline="0">
              <a:solidFill>
                <a:srgbClr val="000000"/>
              </a:solidFill>
              <a:latin typeface="Arial"/>
              <a:ea typeface="Arial"/>
              <a:cs typeface="Arial"/>
            </a:rPr>
            <a:t>10. Sundays in Lent are “Nth Sunday in Lent” up to Palm Sunday. They are purple.
</a:t>
          </a:r>
          <a:r>
            <a:rPr lang="en-US" cap="none" sz="1000" b="0" i="0" u="none" baseline="0">
              <a:solidFill>
                <a:srgbClr val="000000"/>
              </a:solidFill>
              <a:latin typeface="Arial"/>
              <a:ea typeface="Arial"/>
              <a:cs typeface="Arial"/>
            </a:rPr>
            <a:t>11. Palm Sunday through Holy Saturday are red or purple. Good Friday may be black. 
</a:t>
          </a:r>
          <a:r>
            <a:rPr lang="en-US" cap="none" sz="1000" b="0" i="0" u="none" baseline="0">
              <a:solidFill>
                <a:srgbClr val="000000"/>
              </a:solidFill>
              <a:latin typeface="Arial"/>
              <a:ea typeface="Arial"/>
              <a:cs typeface="Arial"/>
            </a:rPr>
            <a:t>12. Easter through Pentecost is white. 
</a:t>
          </a:r>
          <a:r>
            <a:rPr lang="en-US" cap="none" sz="1000" b="0" i="0" u="none" baseline="0">
              <a:solidFill>
                <a:srgbClr val="000000"/>
              </a:solidFill>
              <a:latin typeface="Arial"/>
              <a:ea typeface="Arial"/>
              <a:cs typeface="Arial"/>
            </a:rPr>
            <a:t>13. The Sunday after Easter is the “Second Sunday of Easter” and numbered sequentially through the Sunday
</a:t>
          </a:r>
          <a:r>
            <a:rPr lang="en-US" cap="none" sz="1000" b="0" i="0" u="none" baseline="0">
              <a:solidFill>
                <a:srgbClr val="000000"/>
              </a:solidFill>
              <a:latin typeface="Arial"/>
              <a:ea typeface="Arial"/>
              <a:cs typeface="Arial"/>
            </a:rPr>
            <a:t>      before Pentecost.
</a:t>
          </a:r>
          <a:r>
            <a:rPr lang="en-US" cap="none" sz="1000" b="0" i="0" u="none" baseline="0">
              <a:solidFill>
                <a:srgbClr val="000000"/>
              </a:solidFill>
              <a:latin typeface="Arial"/>
              <a:ea typeface="Arial"/>
              <a:cs typeface="Arial"/>
            </a:rPr>
            <a:t>14. Pentecost is red.
</a:t>
          </a:r>
          <a:r>
            <a:rPr lang="en-US" cap="none" sz="1000" b="0" i="0" u="none" baseline="0">
              <a:solidFill>
                <a:srgbClr val="000000"/>
              </a:solidFill>
              <a:latin typeface="Arial"/>
              <a:ea typeface="Arial"/>
              <a:cs typeface="Arial"/>
            </a:rPr>
            <a:t>15. Common days and Sundays after Pentecost are green. This season goes all the way to Advent.
</a:t>
          </a:r>
          <a:r>
            <a:rPr lang="en-US" cap="none" sz="1000" b="0" i="0" u="none" baseline="0">
              <a:solidFill>
                <a:srgbClr val="000000"/>
              </a:solidFill>
              <a:latin typeface="Arial"/>
              <a:ea typeface="Arial"/>
              <a:cs typeface="Arial"/>
            </a:rPr>
            <a:t>16. The Sunday after Pentecost is Trinity Sunday (white).
</a:t>
          </a:r>
          <a:r>
            <a:rPr lang="en-US" cap="none" sz="1000" b="0" i="0" u="none" baseline="0">
              <a:solidFill>
                <a:srgbClr val="000000"/>
              </a:solidFill>
              <a:latin typeface="Arial"/>
              <a:ea typeface="Arial"/>
              <a:cs typeface="Arial"/>
            </a:rPr>
            <a:t>17. Sundays after Trinity Sunday start with “Second Sunday after Pentecost” and are numbered in sequence.
</a:t>
          </a:r>
          <a:r>
            <a:rPr lang="en-US" cap="none" sz="1000" b="0" i="0" u="none" baseline="0">
              <a:solidFill>
                <a:srgbClr val="000000"/>
              </a:solidFill>
              <a:latin typeface="Arial"/>
              <a:ea typeface="Arial"/>
              <a:cs typeface="Arial"/>
            </a:rPr>
            <a:t>18. Common days and Sundays in Advent are Purple. Advent III may use pink.
</a:t>
          </a:r>
          <a:r>
            <a:rPr lang="en-US" cap="none" sz="1000" b="0" i="0" u="none" baseline="0">
              <a:solidFill>
                <a:srgbClr val="000000"/>
              </a:solidFill>
              <a:latin typeface="Arial"/>
              <a:ea typeface="Arial"/>
              <a:cs typeface="Arial"/>
            </a:rPr>
            <a:t>19. Christmas to the end of the year is white.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Galen of Ockam, MC, OP
</a:t>
          </a:r>
          <a:r>
            <a:rPr lang="en-US" cap="none" sz="1000" b="0" i="0" u="none" baseline="0">
              <a:solidFill>
                <a:srgbClr val="000000"/>
              </a:solidFill>
              <a:latin typeface="Arial"/>
              <a:ea typeface="Arial"/>
              <a:cs typeface="Arial"/>
            </a:rPr>
            <a:t>St. John's Day, AS XXXIX
</a:t>
          </a:r>
          <a:r>
            <a:rPr lang="en-US" cap="none" sz="1000" b="0" i="0" u="none" baseline="0">
              <a:solidFill>
                <a:srgbClr val="000000"/>
              </a:solidFill>
              <a:latin typeface="Arial"/>
              <a:ea typeface="Arial"/>
              <a:cs typeface="Arial"/>
            </a:rPr>
            <a:t>galen@chirurgeon.org</a:t>
          </a:r>
          <a:r>
            <a:rPr lang="en-US" cap="none" sz="1000" b="0" i="1"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9</xdr:row>
      <xdr:rowOff>47625</xdr:rowOff>
    </xdr:from>
    <xdr:ext cx="5172075" cy="3724275"/>
    <xdr:sp>
      <xdr:nvSpPr>
        <xdr:cNvPr id="1" name="Text Box 1"/>
        <xdr:cNvSpPr txBox="1">
          <a:spLocks noChangeArrowheads="1"/>
        </xdr:cNvSpPr>
      </xdr:nvSpPr>
      <xdr:spPr>
        <a:xfrm>
          <a:off x="152400" y="1504950"/>
          <a:ext cx="5172075" cy="37242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Calculation of local times of sunrise, and sunset based on the calculation procedure by NOAA (http://www.srrb.noaa.gov/highlights/sunrise/sunrise.html)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calculations in the NOAA Sunrise/Sunset are based on equations from Astronomical Algorithms, by Jean Meeus. NOAA also included atmospheric refraction effects. The sunrise and sunset results were reported by NOAA to be accurate to within +/- 1 minute for locations between +/- 72° latitude, and within ten minutes outside of those latitudes.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Excel VBA translation was tested for selected locations and found to provide results within +/- 1 minute of the original NOAA Javascript code.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VBA translation does not include calculation of prior or next susets for locations above the Arctic Circle and below the Antarctic Circle, when a sunrise or sunset does not occur.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Translated from NOAA's Javascript to Excel VBA by: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Greg Pelletier
</a:t>
          </a:r>
          <a:r>
            <a:rPr lang="en-US" cap="none" sz="1000" b="0" i="1" u="none" baseline="0">
              <a:solidFill>
                <a:srgbClr val="000000"/>
              </a:solidFill>
              <a:latin typeface="Arial"/>
              <a:ea typeface="Arial"/>
              <a:cs typeface="Arial"/>
            </a:rPr>
            <a:t>Olympia, WA
</a:t>
          </a:r>
          <a:r>
            <a:rPr lang="en-US" cap="none" sz="1000" b="0" i="1" u="none" baseline="0">
              <a:solidFill>
                <a:srgbClr val="000000"/>
              </a:solidFill>
              <a:latin typeface="Arial"/>
              <a:ea typeface="Arial"/>
              <a:cs typeface="Arial"/>
            </a:rPr>
            <a:t>e-mail: pelican@vei.net
</a:t>
          </a:r>
          <a:r>
            <a:rPr lang="en-US" cap="none" sz="1000" b="0" i="1" u="none" baseline="0">
              <a:solidFill>
                <a:srgbClr val="000000"/>
              </a:solidFill>
              <a:latin typeface="Arial"/>
              <a:ea typeface="Arial"/>
              <a:cs typeface="Arial"/>
            </a:rPr>
            <a:t>http://users.vei.net/pelican/sunrise.html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Used with permission
</a:t>
          </a:r>
        </a:p>
      </xdr:txBody>
    </xdr:sp>
    <xdr:clientData/>
  </xdr:oneCellAnchor>
  <xdr:oneCellAnchor>
    <xdr:from>
      <xdr:col>0</xdr:col>
      <xdr:colOff>200025</xdr:colOff>
      <xdr:row>0</xdr:row>
      <xdr:rowOff>114300</xdr:rowOff>
    </xdr:from>
    <xdr:ext cx="5334000" cy="1323975"/>
    <xdr:sp>
      <xdr:nvSpPr>
        <xdr:cNvPr id="2" name="Text Box 2"/>
        <xdr:cNvSpPr txBox="1">
          <a:spLocks noChangeArrowheads="1"/>
        </xdr:cNvSpPr>
      </xdr:nvSpPr>
      <xdr:spPr>
        <a:xfrm>
          <a:off x="200025" y="114300"/>
          <a:ext cx="5334000" cy="1323975"/>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Computus Digitorum - </a:t>
          </a:r>
          <a:r>
            <a:rPr lang="en-US" cap="none" sz="1000" b="1" i="0" u="none" baseline="0">
              <a:solidFill>
                <a:srgbClr val="000000"/>
              </a:solidFill>
              <a:latin typeface="Arial"/>
              <a:ea typeface="Arial"/>
              <a:cs typeface="Arial"/>
            </a:rPr>
            <a:t>Modern Medieval Liturgical Calendar v7 
</a:t>
          </a:r>
          <a:r>
            <a:rPr lang="en-US" cap="none" sz="1000" b="0" i="0" u="none" baseline="0">
              <a:solidFill>
                <a:srgbClr val="000000"/>
              </a:solidFill>
              <a:latin typeface="Arial"/>
              <a:ea typeface="Arial"/>
              <a:cs typeface="Arial"/>
            </a:rPr>
            <a:t>is Copyright © 1999 - 2005 by Keith E. Brandt, M.D.,
</a:t>
          </a:r>
          <a:r>
            <a:rPr lang="en-US" cap="none" sz="1000" b="0" i="0" u="none" baseline="0">
              <a:solidFill>
                <a:srgbClr val="000000"/>
              </a:solidFill>
              <a:latin typeface="Arial"/>
              <a:ea typeface="Arial"/>
              <a:cs typeface="Arial"/>
            </a:rPr>
            <a:t>All rights reserved. May be freely distributed for personal use. If you find this calendar useful and/or interesting, or if you have general comments and bug reports - I'd like to hear from you!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Galen of Ockam, MC, OP
</a:t>
          </a:r>
          <a:r>
            <a:rPr lang="en-US" cap="none" sz="1000" b="0" i="0" u="none" baseline="0">
              <a:solidFill>
                <a:srgbClr val="000000"/>
              </a:solidFill>
              <a:latin typeface="Arial"/>
              <a:ea typeface="Arial"/>
              <a:cs typeface="Arial"/>
            </a:rPr>
            <a:t>Midsummer's Eve, AS XXXIX
</a:t>
          </a:r>
          <a:r>
            <a:rPr lang="en-US" cap="none" sz="1000" b="0" i="0" u="none" baseline="0">
              <a:solidFill>
                <a:srgbClr val="000000"/>
              </a:solidFill>
              <a:latin typeface="Arial"/>
              <a:ea typeface="Arial"/>
              <a:cs typeface="Arial"/>
            </a:rPr>
            <a:t>galen@chirurgeon.org</a:t>
          </a:r>
          <a:r>
            <a:rPr lang="en-US" cap="none" sz="1000" b="0" i="1"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6</xdr:row>
      <xdr:rowOff>9525</xdr:rowOff>
    </xdr:from>
    <xdr:to>
      <xdr:col>2</xdr:col>
      <xdr:colOff>200025</xdr:colOff>
      <xdr:row>7</xdr:row>
      <xdr:rowOff>9525</xdr:rowOff>
    </xdr:to>
    <xdr:pic>
      <xdr:nvPicPr>
        <xdr:cNvPr id="1" name="Picture 9"/>
        <xdr:cNvPicPr preferRelativeResize="1">
          <a:picLocks noChangeAspect="1"/>
        </xdr:cNvPicPr>
      </xdr:nvPicPr>
      <xdr:blipFill>
        <a:blip r:embed="rId1"/>
        <a:stretch>
          <a:fillRect/>
        </a:stretch>
      </xdr:blipFill>
      <xdr:spPr>
        <a:xfrm>
          <a:off x="1162050" y="1114425"/>
          <a:ext cx="161925" cy="161925"/>
        </a:xfrm>
        <a:prstGeom prst="rect">
          <a:avLst/>
        </a:prstGeom>
        <a:noFill/>
        <a:ln w="9525" cmpd="sng">
          <a:noFill/>
        </a:ln>
      </xdr:spPr>
    </xdr:pic>
    <xdr:clientData/>
  </xdr:twoCellAnchor>
  <xdr:twoCellAnchor editAs="oneCell">
    <xdr:from>
      <xdr:col>2</xdr:col>
      <xdr:colOff>28575</xdr:colOff>
      <xdr:row>14</xdr:row>
      <xdr:rowOff>152400</xdr:rowOff>
    </xdr:from>
    <xdr:to>
      <xdr:col>2</xdr:col>
      <xdr:colOff>209550</xdr:colOff>
      <xdr:row>16</xdr:row>
      <xdr:rowOff>9525</xdr:rowOff>
    </xdr:to>
    <xdr:pic>
      <xdr:nvPicPr>
        <xdr:cNvPr id="2" name="Picture 10"/>
        <xdr:cNvPicPr preferRelativeResize="1">
          <a:picLocks noChangeAspect="1"/>
        </xdr:cNvPicPr>
      </xdr:nvPicPr>
      <xdr:blipFill>
        <a:blip r:embed="rId2"/>
        <a:stretch>
          <a:fillRect/>
        </a:stretch>
      </xdr:blipFill>
      <xdr:spPr>
        <a:xfrm>
          <a:off x="1152525" y="2552700"/>
          <a:ext cx="180975" cy="180975"/>
        </a:xfrm>
        <a:prstGeom prst="rect">
          <a:avLst/>
        </a:prstGeom>
        <a:noFill/>
        <a:ln w="9525" cmpd="sng">
          <a:noFill/>
        </a:ln>
      </xdr:spPr>
    </xdr:pic>
    <xdr:clientData/>
  </xdr:twoCellAnchor>
  <xdr:twoCellAnchor editAs="oneCell">
    <xdr:from>
      <xdr:col>2</xdr:col>
      <xdr:colOff>28575</xdr:colOff>
      <xdr:row>23</xdr:row>
      <xdr:rowOff>0</xdr:rowOff>
    </xdr:from>
    <xdr:to>
      <xdr:col>2</xdr:col>
      <xdr:colOff>180975</xdr:colOff>
      <xdr:row>24</xdr:row>
      <xdr:rowOff>0</xdr:rowOff>
    </xdr:to>
    <xdr:pic>
      <xdr:nvPicPr>
        <xdr:cNvPr id="3" name="Picture 11"/>
        <xdr:cNvPicPr preferRelativeResize="1">
          <a:picLocks noChangeAspect="1"/>
        </xdr:cNvPicPr>
      </xdr:nvPicPr>
      <xdr:blipFill>
        <a:blip r:embed="rId3"/>
        <a:stretch>
          <a:fillRect/>
        </a:stretch>
      </xdr:blipFill>
      <xdr:spPr>
        <a:xfrm>
          <a:off x="1152525" y="3857625"/>
          <a:ext cx="152400" cy="161925"/>
        </a:xfrm>
        <a:prstGeom prst="rect">
          <a:avLst/>
        </a:prstGeom>
        <a:noFill/>
        <a:ln w="9525" cmpd="sng">
          <a:noFill/>
        </a:ln>
      </xdr:spPr>
    </xdr:pic>
    <xdr:clientData/>
  </xdr:twoCellAnchor>
  <xdr:twoCellAnchor editAs="oneCell">
    <xdr:from>
      <xdr:col>2</xdr:col>
      <xdr:colOff>28575</xdr:colOff>
      <xdr:row>29</xdr:row>
      <xdr:rowOff>0</xdr:rowOff>
    </xdr:from>
    <xdr:to>
      <xdr:col>2</xdr:col>
      <xdr:colOff>200025</xdr:colOff>
      <xdr:row>30</xdr:row>
      <xdr:rowOff>0</xdr:rowOff>
    </xdr:to>
    <xdr:pic>
      <xdr:nvPicPr>
        <xdr:cNvPr id="4" name="Picture 12"/>
        <xdr:cNvPicPr preferRelativeResize="1">
          <a:picLocks noChangeAspect="1"/>
        </xdr:cNvPicPr>
      </xdr:nvPicPr>
      <xdr:blipFill>
        <a:blip r:embed="rId4"/>
        <a:stretch>
          <a:fillRect/>
        </a:stretch>
      </xdr:blipFill>
      <xdr:spPr>
        <a:xfrm>
          <a:off x="1152525" y="4829175"/>
          <a:ext cx="1714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8</xdr:row>
      <xdr:rowOff>28575</xdr:rowOff>
    </xdr:from>
    <xdr:to>
      <xdr:col>2</xdr:col>
      <xdr:colOff>180975</xdr:colOff>
      <xdr:row>9</xdr:row>
      <xdr:rowOff>28575</xdr:rowOff>
    </xdr:to>
    <xdr:pic>
      <xdr:nvPicPr>
        <xdr:cNvPr id="1" name="Picture 5"/>
        <xdr:cNvPicPr preferRelativeResize="1">
          <a:picLocks noChangeAspect="1"/>
        </xdr:cNvPicPr>
      </xdr:nvPicPr>
      <xdr:blipFill>
        <a:blip r:embed="rId1"/>
        <a:stretch>
          <a:fillRect/>
        </a:stretch>
      </xdr:blipFill>
      <xdr:spPr>
        <a:xfrm>
          <a:off x="1143000" y="1457325"/>
          <a:ext cx="161925" cy="161925"/>
        </a:xfrm>
        <a:prstGeom prst="rect">
          <a:avLst/>
        </a:prstGeom>
        <a:noFill/>
        <a:ln w="9525" cmpd="sng">
          <a:noFill/>
        </a:ln>
      </xdr:spPr>
    </xdr:pic>
    <xdr:clientData/>
  </xdr:twoCellAnchor>
  <xdr:twoCellAnchor editAs="oneCell">
    <xdr:from>
      <xdr:col>2</xdr:col>
      <xdr:colOff>38100</xdr:colOff>
      <xdr:row>15</xdr:row>
      <xdr:rowOff>161925</xdr:rowOff>
    </xdr:from>
    <xdr:to>
      <xdr:col>2</xdr:col>
      <xdr:colOff>219075</xdr:colOff>
      <xdr:row>17</xdr:row>
      <xdr:rowOff>19050</xdr:rowOff>
    </xdr:to>
    <xdr:pic>
      <xdr:nvPicPr>
        <xdr:cNvPr id="2" name="Picture 6"/>
        <xdr:cNvPicPr preferRelativeResize="1">
          <a:picLocks noChangeAspect="1"/>
        </xdr:cNvPicPr>
      </xdr:nvPicPr>
      <xdr:blipFill>
        <a:blip r:embed="rId2"/>
        <a:stretch>
          <a:fillRect/>
        </a:stretch>
      </xdr:blipFill>
      <xdr:spPr>
        <a:xfrm>
          <a:off x="1162050" y="2724150"/>
          <a:ext cx="180975" cy="180975"/>
        </a:xfrm>
        <a:prstGeom prst="rect">
          <a:avLst/>
        </a:prstGeom>
        <a:noFill/>
        <a:ln w="9525" cmpd="sng">
          <a:noFill/>
        </a:ln>
      </xdr:spPr>
    </xdr:pic>
    <xdr:clientData/>
  </xdr:twoCellAnchor>
  <xdr:twoCellAnchor editAs="oneCell">
    <xdr:from>
      <xdr:col>2</xdr:col>
      <xdr:colOff>47625</xdr:colOff>
      <xdr:row>24</xdr:row>
      <xdr:rowOff>0</xdr:rowOff>
    </xdr:from>
    <xdr:to>
      <xdr:col>2</xdr:col>
      <xdr:colOff>200025</xdr:colOff>
      <xdr:row>25</xdr:row>
      <xdr:rowOff>0</xdr:rowOff>
    </xdr:to>
    <xdr:pic>
      <xdr:nvPicPr>
        <xdr:cNvPr id="3" name="Picture 7"/>
        <xdr:cNvPicPr preferRelativeResize="1">
          <a:picLocks noChangeAspect="1"/>
        </xdr:cNvPicPr>
      </xdr:nvPicPr>
      <xdr:blipFill>
        <a:blip r:embed="rId3"/>
        <a:stretch>
          <a:fillRect/>
        </a:stretch>
      </xdr:blipFill>
      <xdr:spPr>
        <a:xfrm>
          <a:off x="1171575" y="4019550"/>
          <a:ext cx="152400" cy="161925"/>
        </a:xfrm>
        <a:prstGeom prst="rect">
          <a:avLst/>
        </a:prstGeom>
        <a:noFill/>
        <a:ln w="9525" cmpd="sng">
          <a:noFill/>
        </a:ln>
      </xdr:spPr>
    </xdr:pic>
    <xdr:clientData/>
  </xdr:twoCellAnchor>
  <xdr:twoCellAnchor editAs="oneCell">
    <xdr:from>
      <xdr:col>2</xdr:col>
      <xdr:colOff>19050</xdr:colOff>
      <xdr:row>30</xdr:row>
      <xdr:rowOff>152400</xdr:rowOff>
    </xdr:from>
    <xdr:to>
      <xdr:col>2</xdr:col>
      <xdr:colOff>190500</xdr:colOff>
      <xdr:row>31</xdr:row>
      <xdr:rowOff>152400</xdr:rowOff>
    </xdr:to>
    <xdr:pic>
      <xdr:nvPicPr>
        <xdr:cNvPr id="4" name="Picture 8"/>
        <xdr:cNvPicPr preferRelativeResize="1">
          <a:picLocks noChangeAspect="1"/>
        </xdr:cNvPicPr>
      </xdr:nvPicPr>
      <xdr:blipFill>
        <a:blip r:embed="rId4"/>
        <a:stretch>
          <a:fillRect/>
        </a:stretch>
      </xdr:blipFill>
      <xdr:spPr>
        <a:xfrm>
          <a:off x="1143000" y="5143500"/>
          <a:ext cx="17145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6</xdr:row>
      <xdr:rowOff>104775</xdr:rowOff>
    </xdr:from>
    <xdr:to>
      <xdr:col>2</xdr:col>
      <xdr:colOff>133350</xdr:colOff>
      <xdr:row>7</xdr:row>
      <xdr:rowOff>104775</xdr:rowOff>
    </xdr:to>
    <xdr:pic>
      <xdr:nvPicPr>
        <xdr:cNvPr id="1" name="Picture 5"/>
        <xdr:cNvPicPr preferRelativeResize="1">
          <a:picLocks noChangeAspect="1"/>
        </xdr:cNvPicPr>
      </xdr:nvPicPr>
      <xdr:blipFill>
        <a:blip r:embed="rId1"/>
        <a:stretch>
          <a:fillRect/>
        </a:stretch>
      </xdr:blipFill>
      <xdr:spPr>
        <a:xfrm>
          <a:off x="1095375" y="1209675"/>
          <a:ext cx="161925" cy="161925"/>
        </a:xfrm>
        <a:prstGeom prst="rect">
          <a:avLst/>
        </a:prstGeom>
        <a:noFill/>
        <a:ln w="9525" cmpd="sng">
          <a:noFill/>
        </a:ln>
      </xdr:spPr>
    </xdr:pic>
    <xdr:clientData/>
  </xdr:twoCellAnchor>
  <xdr:twoCellAnchor editAs="oneCell">
    <xdr:from>
      <xdr:col>1</xdr:col>
      <xdr:colOff>762000</xdr:colOff>
      <xdr:row>14</xdr:row>
      <xdr:rowOff>38100</xdr:rowOff>
    </xdr:from>
    <xdr:to>
      <xdr:col>2</xdr:col>
      <xdr:colOff>152400</xdr:colOff>
      <xdr:row>15</xdr:row>
      <xdr:rowOff>57150</xdr:rowOff>
    </xdr:to>
    <xdr:pic>
      <xdr:nvPicPr>
        <xdr:cNvPr id="2" name="Picture 6"/>
        <xdr:cNvPicPr preferRelativeResize="1">
          <a:picLocks noChangeAspect="1"/>
        </xdr:cNvPicPr>
      </xdr:nvPicPr>
      <xdr:blipFill>
        <a:blip r:embed="rId2"/>
        <a:stretch>
          <a:fillRect/>
        </a:stretch>
      </xdr:blipFill>
      <xdr:spPr>
        <a:xfrm>
          <a:off x="1095375" y="2438400"/>
          <a:ext cx="180975" cy="180975"/>
        </a:xfrm>
        <a:prstGeom prst="rect">
          <a:avLst/>
        </a:prstGeom>
        <a:noFill/>
        <a:ln w="9525" cmpd="sng">
          <a:noFill/>
        </a:ln>
      </xdr:spPr>
    </xdr:pic>
    <xdr:clientData/>
  </xdr:twoCellAnchor>
  <xdr:twoCellAnchor editAs="oneCell">
    <xdr:from>
      <xdr:col>1</xdr:col>
      <xdr:colOff>771525</xdr:colOff>
      <xdr:row>20</xdr:row>
      <xdr:rowOff>142875</xdr:rowOff>
    </xdr:from>
    <xdr:to>
      <xdr:col>2</xdr:col>
      <xdr:colOff>133350</xdr:colOff>
      <xdr:row>21</xdr:row>
      <xdr:rowOff>142875</xdr:rowOff>
    </xdr:to>
    <xdr:pic>
      <xdr:nvPicPr>
        <xdr:cNvPr id="3" name="Picture 7"/>
        <xdr:cNvPicPr preferRelativeResize="1">
          <a:picLocks noChangeAspect="1"/>
        </xdr:cNvPicPr>
      </xdr:nvPicPr>
      <xdr:blipFill>
        <a:blip r:embed="rId3"/>
        <a:stretch>
          <a:fillRect/>
        </a:stretch>
      </xdr:blipFill>
      <xdr:spPr>
        <a:xfrm>
          <a:off x="1104900" y="3514725"/>
          <a:ext cx="152400" cy="161925"/>
        </a:xfrm>
        <a:prstGeom prst="rect">
          <a:avLst/>
        </a:prstGeom>
        <a:noFill/>
        <a:ln w="9525" cmpd="sng">
          <a:noFill/>
        </a:ln>
      </xdr:spPr>
    </xdr:pic>
    <xdr:clientData/>
  </xdr:twoCellAnchor>
  <xdr:twoCellAnchor editAs="oneCell">
    <xdr:from>
      <xdr:col>1</xdr:col>
      <xdr:colOff>771525</xdr:colOff>
      <xdr:row>27</xdr:row>
      <xdr:rowOff>85725</xdr:rowOff>
    </xdr:from>
    <xdr:to>
      <xdr:col>2</xdr:col>
      <xdr:colOff>152400</xdr:colOff>
      <xdr:row>28</xdr:row>
      <xdr:rowOff>85725</xdr:rowOff>
    </xdr:to>
    <xdr:pic>
      <xdr:nvPicPr>
        <xdr:cNvPr id="4" name="Picture 8"/>
        <xdr:cNvPicPr preferRelativeResize="1">
          <a:picLocks noChangeAspect="1"/>
        </xdr:cNvPicPr>
      </xdr:nvPicPr>
      <xdr:blipFill>
        <a:blip r:embed="rId4"/>
        <a:stretch>
          <a:fillRect/>
        </a:stretch>
      </xdr:blipFill>
      <xdr:spPr>
        <a:xfrm>
          <a:off x="1104900" y="4591050"/>
          <a:ext cx="1714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6</xdr:row>
      <xdr:rowOff>104775</xdr:rowOff>
    </xdr:from>
    <xdr:to>
      <xdr:col>2</xdr:col>
      <xdr:colOff>152400</xdr:colOff>
      <xdr:row>7</xdr:row>
      <xdr:rowOff>104775</xdr:rowOff>
    </xdr:to>
    <xdr:pic>
      <xdr:nvPicPr>
        <xdr:cNvPr id="1" name="Picture 6"/>
        <xdr:cNvPicPr preferRelativeResize="1">
          <a:picLocks noChangeAspect="1"/>
        </xdr:cNvPicPr>
      </xdr:nvPicPr>
      <xdr:blipFill>
        <a:blip r:embed="rId1"/>
        <a:stretch>
          <a:fillRect/>
        </a:stretch>
      </xdr:blipFill>
      <xdr:spPr>
        <a:xfrm>
          <a:off x="1114425" y="1209675"/>
          <a:ext cx="161925" cy="161925"/>
        </a:xfrm>
        <a:prstGeom prst="rect">
          <a:avLst/>
        </a:prstGeom>
        <a:noFill/>
        <a:ln w="9525" cmpd="sng">
          <a:noFill/>
        </a:ln>
      </xdr:spPr>
    </xdr:pic>
    <xdr:clientData/>
  </xdr:twoCellAnchor>
  <xdr:twoCellAnchor editAs="oneCell">
    <xdr:from>
      <xdr:col>1</xdr:col>
      <xdr:colOff>762000</xdr:colOff>
      <xdr:row>14</xdr:row>
      <xdr:rowOff>38100</xdr:rowOff>
    </xdr:from>
    <xdr:to>
      <xdr:col>2</xdr:col>
      <xdr:colOff>152400</xdr:colOff>
      <xdr:row>15</xdr:row>
      <xdr:rowOff>57150</xdr:rowOff>
    </xdr:to>
    <xdr:pic>
      <xdr:nvPicPr>
        <xdr:cNvPr id="2" name="Picture 7"/>
        <xdr:cNvPicPr preferRelativeResize="1">
          <a:picLocks noChangeAspect="1"/>
        </xdr:cNvPicPr>
      </xdr:nvPicPr>
      <xdr:blipFill>
        <a:blip r:embed="rId2"/>
        <a:stretch>
          <a:fillRect/>
        </a:stretch>
      </xdr:blipFill>
      <xdr:spPr>
        <a:xfrm>
          <a:off x="1095375" y="2438400"/>
          <a:ext cx="180975" cy="180975"/>
        </a:xfrm>
        <a:prstGeom prst="rect">
          <a:avLst/>
        </a:prstGeom>
        <a:noFill/>
        <a:ln w="9525" cmpd="sng">
          <a:noFill/>
        </a:ln>
      </xdr:spPr>
    </xdr:pic>
    <xdr:clientData/>
  </xdr:twoCellAnchor>
  <xdr:twoCellAnchor editAs="oneCell">
    <xdr:from>
      <xdr:col>1</xdr:col>
      <xdr:colOff>781050</xdr:colOff>
      <xdr:row>19</xdr:row>
      <xdr:rowOff>152400</xdr:rowOff>
    </xdr:from>
    <xdr:to>
      <xdr:col>2</xdr:col>
      <xdr:colOff>142875</xdr:colOff>
      <xdr:row>20</xdr:row>
      <xdr:rowOff>152400</xdr:rowOff>
    </xdr:to>
    <xdr:pic>
      <xdr:nvPicPr>
        <xdr:cNvPr id="3" name="Picture 8"/>
        <xdr:cNvPicPr preferRelativeResize="1">
          <a:picLocks noChangeAspect="1"/>
        </xdr:cNvPicPr>
      </xdr:nvPicPr>
      <xdr:blipFill>
        <a:blip r:embed="rId3"/>
        <a:stretch>
          <a:fillRect/>
        </a:stretch>
      </xdr:blipFill>
      <xdr:spPr>
        <a:xfrm>
          <a:off x="1114425" y="3362325"/>
          <a:ext cx="152400" cy="161925"/>
        </a:xfrm>
        <a:prstGeom prst="rect">
          <a:avLst/>
        </a:prstGeom>
        <a:noFill/>
        <a:ln w="9525" cmpd="sng">
          <a:noFill/>
        </a:ln>
      </xdr:spPr>
    </xdr:pic>
    <xdr:clientData/>
  </xdr:twoCellAnchor>
  <xdr:twoCellAnchor editAs="oneCell">
    <xdr:from>
      <xdr:col>1</xdr:col>
      <xdr:colOff>762000</xdr:colOff>
      <xdr:row>26</xdr:row>
      <xdr:rowOff>114300</xdr:rowOff>
    </xdr:from>
    <xdr:to>
      <xdr:col>2</xdr:col>
      <xdr:colOff>142875</xdr:colOff>
      <xdr:row>27</xdr:row>
      <xdr:rowOff>114300</xdr:rowOff>
    </xdr:to>
    <xdr:pic>
      <xdr:nvPicPr>
        <xdr:cNvPr id="4" name="Picture 9"/>
        <xdr:cNvPicPr preferRelativeResize="1">
          <a:picLocks noChangeAspect="1"/>
        </xdr:cNvPicPr>
      </xdr:nvPicPr>
      <xdr:blipFill>
        <a:blip r:embed="rId4"/>
        <a:stretch>
          <a:fillRect/>
        </a:stretch>
      </xdr:blipFill>
      <xdr:spPr>
        <a:xfrm>
          <a:off x="1095375" y="4457700"/>
          <a:ext cx="17145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4</xdr:row>
      <xdr:rowOff>114300</xdr:rowOff>
    </xdr:from>
    <xdr:to>
      <xdr:col>2</xdr:col>
      <xdr:colOff>142875</xdr:colOff>
      <xdr:row>5</xdr:row>
      <xdr:rowOff>114300</xdr:rowOff>
    </xdr:to>
    <xdr:pic>
      <xdr:nvPicPr>
        <xdr:cNvPr id="1" name="Picture 5"/>
        <xdr:cNvPicPr preferRelativeResize="1">
          <a:picLocks noChangeAspect="1"/>
        </xdr:cNvPicPr>
      </xdr:nvPicPr>
      <xdr:blipFill>
        <a:blip r:embed="rId1"/>
        <a:stretch>
          <a:fillRect/>
        </a:stretch>
      </xdr:blipFill>
      <xdr:spPr>
        <a:xfrm>
          <a:off x="1104900" y="895350"/>
          <a:ext cx="161925" cy="161925"/>
        </a:xfrm>
        <a:prstGeom prst="rect">
          <a:avLst/>
        </a:prstGeom>
        <a:noFill/>
        <a:ln w="9525" cmpd="sng">
          <a:noFill/>
        </a:ln>
      </xdr:spPr>
    </xdr:pic>
    <xdr:clientData/>
  </xdr:twoCellAnchor>
  <xdr:twoCellAnchor editAs="oneCell">
    <xdr:from>
      <xdr:col>1</xdr:col>
      <xdr:colOff>771525</xdr:colOff>
      <xdr:row>12</xdr:row>
      <xdr:rowOff>57150</xdr:rowOff>
    </xdr:from>
    <xdr:to>
      <xdr:col>2</xdr:col>
      <xdr:colOff>161925</xdr:colOff>
      <xdr:row>13</xdr:row>
      <xdr:rowOff>76200</xdr:rowOff>
    </xdr:to>
    <xdr:pic>
      <xdr:nvPicPr>
        <xdr:cNvPr id="2" name="Picture 6"/>
        <xdr:cNvPicPr preferRelativeResize="1">
          <a:picLocks noChangeAspect="1"/>
        </xdr:cNvPicPr>
      </xdr:nvPicPr>
      <xdr:blipFill>
        <a:blip r:embed="rId2"/>
        <a:stretch>
          <a:fillRect/>
        </a:stretch>
      </xdr:blipFill>
      <xdr:spPr>
        <a:xfrm>
          <a:off x="1104900" y="2133600"/>
          <a:ext cx="180975" cy="180975"/>
        </a:xfrm>
        <a:prstGeom prst="rect">
          <a:avLst/>
        </a:prstGeom>
        <a:noFill/>
        <a:ln w="9525" cmpd="sng">
          <a:noFill/>
        </a:ln>
      </xdr:spPr>
    </xdr:pic>
    <xdr:clientData/>
  </xdr:twoCellAnchor>
  <xdr:twoCellAnchor editAs="oneCell">
    <xdr:from>
      <xdr:col>1</xdr:col>
      <xdr:colOff>790575</xdr:colOff>
      <xdr:row>18</xdr:row>
      <xdr:rowOff>142875</xdr:rowOff>
    </xdr:from>
    <xdr:to>
      <xdr:col>2</xdr:col>
      <xdr:colOff>152400</xdr:colOff>
      <xdr:row>19</xdr:row>
      <xdr:rowOff>142875</xdr:rowOff>
    </xdr:to>
    <xdr:pic>
      <xdr:nvPicPr>
        <xdr:cNvPr id="3" name="Picture 7"/>
        <xdr:cNvPicPr preferRelativeResize="1">
          <a:picLocks noChangeAspect="1"/>
        </xdr:cNvPicPr>
      </xdr:nvPicPr>
      <xdr:blipFill>
        <a:blip r:embed="rId3"/>
        <a:stretch>
          <a:fillRect/>
        </a:stretch>
      </xdr:blipFill>
      <xdr:spPr>
        <a:xfrm>
          <a:off x="1123950" y="3190875"/>
          <a:ext cx="152400" cy="161925"/>
        </a:xfrm>
        <a:prstGeom prst="rect">
          <a:avLst/>
        </a:prstGeom>
        <a:noFill/>
        <a:ln w="9525" cmpd="sng">
          <a:noFill/>
        </a:ln>
      </xdr:spPr>
    </xdr:pic>
    <xdr:clientData/>
  </xdr:twoCellAnchor>
  <xdr:twoCellAnchor editAs="oneCell">
    <xdr:from>
      <xdr:col>2</xdr:col>
      <xdr:colOff>0</xdr:colOff>
      <xdr:row>25</xdr:row>
      <xdr:rowOff>95250</xdr:rowOff>
    </xdr:from>
    <xdr:to>
      <xdr:col>2</xdr:col>
      <xdr:colOff>171450</xdr:colOff>
      <xdr:row>26</xdr:row>
      <xdr:rowOff>95250</xdr:rowOff>
    </xdr:to>
    <xdr:pic>
      <xdr:nvPicPr>
        <xdr:cNvPr id="4" name="Picture 8"/>
        <xdr:cNvPicPr preferRelativeResize="1">
          <a:picLocks noChangeAspect="1"/>
        </xdr:cNvPicPr>
      </xdr:nvPicPr>
      <xdr:blipFill>
        <a:blip r:embed="rId4"/>
        <a:stretch>
          <a:fillRect/>
        </a:stretch>
      </xdr:blipFill>
      <xdr:spPr>
        <a:xfrm>
          <a:off x="1123950" y="4276725"/>
          <a:ext cx="17145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4</xdr:row>
      <xdr:rowOff>104775</xdr:rowOff>
    </xdr:from>
    <xdr:to>
      <xdr:col>2</xdr:col>
      <xdr:colOff>142875</xdr:colOff>
      <xdr:row>5</xdr:row>
      <xdr:rowOff>104775</xdr:rowOff>
    </xdr:to>
    <xdr:pic>
      <xdr:nvPicPr>
        <xdr:cNvPr id="1" name="Picture 6"/>
        <xdr:cNvPicPr preferRelativeResize="1">
          <a:picLocks noChangeAspect="1"/>
        </xdr:cNvPicPr>
      </xdr:nvPicPr>
      <xdr:blipFill>
        <a:blip r:embed="rId1"/>
        <a:stretch>
          <a:fillRect/>
        </a:stretch>
      </xdr:blipFill>
      <xdr:spPr>
        <a:xfrm>
          <a:off x="1104900" y="885825"/>
          <a:ext cx="161925" cy="161925"/>
        </a:xfrm>
        <a:prstGeom prst="rect">
          <a:avLst/>
        </a:prstGeom>
        <a:noFill/>
        <a:ln w="9525" cmpd="sng">
          <a:noFill/>
        </a:ln>
      </xdr:spPr>
    </xdr:pic>
    <xdr:clientData/>
  </xdr:twoCellAnchor>
  <xdr:twoCellAnchor editAs="oneCell">
    <xdr:from>
      <xdr:col>1</xdr:col>
      <xdr:colOff>742950</xdr:colOff>
      <xdr:row>11</xdr:row>
      <xdr:rowOff>57150</xdr:rowOff>
    </xdr:from>
    <xdr:to>
      <xdr:col>2</xdr:col>
      <xdr:colOff>133350</xdr:colOff>
      <xdr:row>12</xdr:row>
      <xdr:rowOff>66675</xdr:rowOff>
    </xdr:to>
    <xdr:pic>
      <xdr:nvPicPr>
        <xdr:cNvPr id="2" name="Picture 7"/>
        <xdr:cNvPicPr preferRelativeResize="1">
          <a:picLocks noChangeAspect="1"/>
        </xdr:cNvPicPr>
      </xdr:nvPicPr>
      <xdr:blipFill>
        <a:blip r:embed="rId2"/>
        <a:stretch>
          <a:fillRect/>
        </a:stretch>
      </xdr:blipFill>
      <xdr:spPr>
        <a:xfrm>
          <a:off x="1076325" y="1971675"/>
          <a:ext cx="180975" cy="171450"/>
        </a:xfrm>
        <a:prstGeom prst="rect">
          <a:avLst/>
        </a:prstGeom>
        <a:noFill/>
        <a:ln w="9525" cmpd="sng">
          <a:noFill/>
        </a:ln>
      </xdr:spPr>
    </xdr:pic>
    <xdr:clientData/>
  </xdr:twoCellAnchor>
  <xdr:twoCellAnchor editAs="oneCell">
    <xdr:from>
      <xdr:col>1</xdr:col>
      <xdr:colOff>771525</xdr:colOff>
      <xdr:row>18</xdr:row>
      <xdr:rowOff>9525</xdr:rowOff>
    </xdr:from>
    <xdr:to>
      <xdr:col>2</xdr:col>
      <xdr:colOff>133350</xdr:colOff>
      <xdr:row>19</xdr:row>
      <xdr:rowOff>9525</xdr:rowOff>
    </xdr:to>
    <xdr:pic>
      <xdr:nvPicPr>
        <xdr:cNvPr id="3" name="Picture 8"/>
        <xdr:cNvPicPr preferRelativeResize="1">
          <a:picLocks noChangeAspect="1"/>
        </xdr:cNvPicPr>
      </xdr:nvPicPr>
      <xdr:blipFill>
        <a:blip r:embed="rId3"/>
        <a:stretch>
          <a:fillRect/>
        </a:stretch>
      </xdr:blipFill>
      <xdr:spPr>
        <a:xfrm>
          <a:off x="1104900" y="3057525"/>
          <a:ext cx="152400" cy="161925"/>
        </a:xfrm>
        <a:prstGeom prst="rect">
          <a:avLst/>
        </a:prstGeom>
        <a:noFill/>
        <a:ln w="9525" cmpd="sng">
          <a:noFill/>
        </a:ln>
      </xdr:spPr>
    </xdr:pic>
    <xdr:clientData/>
  </xdr:twoCellAnchor>
  <xdr:twoCellAnchor editAs="oneCell">
    <xdr:from>
      <xdr:col>1</xdr:col>
      <xdr:colOff>771525</xdr:colOff>
      <xdr:row>25</xdr:row>
      <xdr:rowOff>104775</xdr:rowOff>
    </xdr:from>
    <xdr:to>
      <xdr:col>2</xdr:col>
      <xdr:colOff>152400</xdr:colOff>
      <xdr:row>26</xdr:row>
      <xdr:rowOff>104775</xdr:rowOff>
    </xdr:to>
    <xdr:pic>
      <xdr:nvPicPr>
        <xdr:cNvPr id="4" name="Picture 9"/>
        <xdr:cNvPicPr preferRelativeResize="1">
          <a:picLocks noChangeAspect="1"/>
        </xdr:cNvPicPr>
      </xdr:nvPicPr>
      <xdr:blipFill>
        <a:blip r:embed="rId4"/>
        <a:stretch>
          <a:fillRect/>
        </a:stretch>
      </xdr:blipFill>
      <xdr:spPr>
        <a:xfrm>
          <a:off x="1104900" y="4286250"/>
          <a:ext cx="171450"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3</xdr:row>
      <xdr:rowOff>104775</xdr:rowOff>
    </xdr:from>
    <xdr:to>
      <xdr:col>2</xdr:col>
      <xdr:colOff>142875</xdr:colOff>
      <xdr:row>4</xdr:row>
      <xdr:rowOff>104775</xdr:rowOff>
    </xdr:to>
    <xdr:pic>
      <xdr:nvPicPr>
        <xdr:cNvPr id="1" name="Picture 9"/>
        <xdr:cNvPicPr preferRelativeResize="1">
          <a:picLocks noChangeAspect="1"/>
        </xdr:cNvPicPr>
      </xdr:nvPicPr>
      <xdr:blipFill>
        <a:blip r:embed="rId1"/>
        <a:stretch>
          <a:fillRect/>
        </a:stretch>
      </xdr:blipFill>
      <xdr:spPr>
        <a:xfrm>
          <a:off x="1104900" y="723900"/>
          <a:ext cx="161925" cy="161925"/>
        </a:xfrm>
        <a:prstGeom prst="rect">
          <a:avLst/>
        </a:prstGeom>
        <a:noFill/>
        <a:ln w="9525" cmpd="sng">
          <a:noFill/>
        </a:ln>
      </xdr:spPr>
    </xdr:pic>
    <xdr:clientData/>
  </xdr:twoCellAnchor>
  <xdr:twoCellAnchor editAs="oneCell">
    <xdr:from>
      <xdr:col>1</xdr:col>
      <xdr:colOff>771525</xdr:colOff>
      <xdr:row>10</xdr:row>
      <xdr:rowOff>66675</xdr:rowOff>
    </xdr:from>
    <xdr:to>
      <xdr:col>2</xdr:col>
      <xdr:colOff>161925</xdr:colOff>
      <xdr:row>11</xdr:row>
      <xdr:rowOff>85725</xdr:rowOff>
    </xdr:to>
    <xdr:pic>
      <xdr:nvPicPr>
        <xdr:cNvPr id="2" name="Picture 10"/>
        <xdr:cNvPicPr preferRelativeResize="1">
          <a:picLocks noChangeAspect="1"/>
        </xdr:cNvPicPr>
      </xdr:nvPicPr>
      <xdr:blipFill>
        <a:blip r:embed="rId2"/>
        <a:stretch>
          <a:fillRect/>
        </a:stretch>
      </xdr:blipFill>
      <xdr:spPr>
        <a:xfrm>
          <a:off x="1104900" y="1819275"/>
          <a:ext cx="180975" cy="180975"/>
        </a:xfrm>
        <a:prstGeom prst="rect">
          <a:avLst/>
        </a:prstGeom>
        <a:noFill/>
        <a:ln w="9525" cmpd="sng">
          <a:noFill/>
        </a:ln>
      </xdr:spPr>
    </xdr:pic>
    <xdr:clientData/>
  </xdr:twoCellAnchor>
  <xdr:twoCellAnchor editAs="oneCell">
    <xdr:from>
      <xdr:col>1</xdr:col>
      <xdr:colOff>762000</xdr:colOff>
      <xdr:row>16</xdr:row>
      <xdr:rowOff>19050</xdr:rowOff>
    </xdr:from>
    <xdr:to>
      <xdr:col>2</xdr:col>
      <xdr:colOff>123825</xdr:colOff>
      <xdr:row>17</xdr:row>
      <xdr:rowOff>19050</xdr:rowOff>
    </xdr:to>
    <xdr:pic>
      <xdr:nvPicPr>
        <xdr:cNvPr id="3" name="Picture 11"/>
        <xdr:cNvPicPr preferRelativeResize="1">
          <a:picLocks noChangeAspect="1"/>
        </xdr:cNvPicPr>
      </xdr:nvPicPr>
      <xdr:blipFill>
        <a:blip r:embed="rId3"/>
        <a:stretch>
          <a:fillRect/>
        </a:stretch>
      </xdr:blipFill>
      <xdr:spPr>
        <a:xfrm>
          <a:off x="1095375" y="2743200"/>
          <a:ext cx="152400" cy="161925"/>
        </a:xfrm>
        <a:prstGeom prst="rect">
          <a:avLst/>
        </a:prstGeom>
        <a:noFill/>
        <a:ln w="9525" cmpd="sng">
          <a:noFill/>
        </a:ln>
      </xdr:spPr>
    </xdr:pic>
    <xdr:clientData/>
  </xdr:twoCellAnchor>
  <xdr:twoCellAnchor editAs="oneCell">
    <xdr:from>
      <xdr:col>1</xdr:col>
      <xdr:colOff>771525</xdr:colOff>
      <xdr:row>23</xdr:row>
      <xdr:rowOff>104775</xdr:rowOff>
    </xdr:from>
    <xdr:to>
      <xdr:col>2</xdr:col>
      <xdr:colOff>152400</xdr:colOff>
      <xdr:row>24</xdr:row>
      <xdr:rowOff>104775</xdr:rowOff>
    </xdr:to>
    <xdr:pic>
      <xdr:nvPicPr>
        <xdr:cNvPr id="4" name="Picture 12"/>
        <xdr:cNvPicPr preferRelativeResize="1">
          <a:picLocks noChangeAspect="1"/>
        </xdr:cNvPicPr>
      </xdr:nvPicPr>
      <xdr:blipFill>
        <a:blip r:embed="rId4"/>
        <a:stretch>
          <a:fillRect/>
        </a:stretch>
      </xdr:blipFill>
      <xdr:spPr>
        <a:xfrm>
          <a:off x="1104900" y="3962400"/>
          <a:ext cx="171450"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1</xdr:row>
      <xdr:rowOff>142875</xdr:rowOff>
    </xdr:from>
    <xdr:to>
      <xdr:col>2</xdr:col>
      <xdr:colOff>161925</xdr:colOff>
      <xdr:row>2</xdr:row>
      <xdr:rowOff>142875</xdr:rowOff>
    </xdr:to>
    <xdr:pic>
      <xdr:nvPicPr>
        <xdr:cNvPr id="1" name="Picture 5"/>
        <xdr:cNvPicPr preferRelativeResize="1">
          <a:picLocks noChangeAspect="1"/>
        </xdr:cNvPicPr>
      </xdr:nvPicPr>
      <xdr:blipFill>
        <a:blip r:embed="rId1"/>
        <a:stretch>
          <a:fillRect/>
        </a:stretch>
      </xdr:blipFill>
      <xdr:spPr>
        <a:xfrm>
          <a:off x="1123950" y="438150"/>
          <a:ext cx="161925" cy="161925"/>
        </a:xfrm>
        <a:prstGeom prst="rect">
          <a:avLst/>
        </a:prstGeom>
        <a:noFill/>
        <a:ln w="9525" cmpd="sng">
          <a:noFill/>
        </a:ln>
      </xdr:spPr>
    </xdr:pic>
    <xdr:clientData/>
  </xdr:twoCellAnchor>
  <xdr:twoCellAnchor editAs="oneCell">
    <xdr:from>
      <xdr:col>1</xdr:col>
      <xdr:colOff>771525</xdr:colOff>
      <xdr:row>8</xdr:row>
      <xdr:rowOff>76200</xdr:rowOff>
    </xdr:from>
    <xdr:to>
      <xdr:col>2</xdr:col>
      <xdr:colOff>161925</xdr:colOff>
      <xdr:row>9</xdr:row>
      <xdr:rowOff>95250</xdr:rowOff>
    </xdr:to>
    <xdr:pic>
      <xdr:nvPicPr>
        <xdr:cNvPr id="2" name="Picture 6"/>
        <xdr:cNvPicPr preferRelativeResize="1">
          <a:picLocks noChangeAspect="1"/>
        </xdr:cNvPicPr>
      </xdr:nvPicPr>
      <xdr:blipFill>
        <a:blip r:embed="rId2"/>
        <a:stretch>
          <a:fillRect/>
        </a:stretch>
      </xdr:blipFill>
      <xdr:spPr>
        <a:xfrm>
          <a:off x="1104900" y="1504950"/>
          <a:ext cx="180975" cy="180975"/>
        </a:xfrm>
        <a:prstGeom prst="rect">
          <a:avLst/>
        </a:prstGeom>
        <a:noFill/>
        <a:ln w="9525" cmpd="sng">
          <a:noFill/>
        </a:ln>
      </xdr:spPr>
    </xdr:pic>
    <xdr:clientData/>
  </xdr:twoCellAnchor>
  <xdr:twoCellAnchor editAs="oneCell">
    <xdr:from>
      <xdr:col>1</xdr:col>
      <xdr:colOff>790575</xdr:colOff>
      <xdr:row>15</xdr:row>
      <xdr:rowOff>38100</xdr:rowOff>
    </xdr:from>
    <xdr:to>
      <xdr:col>2</xdr:col>
      <xdr:colOff>152400</xdr:colOff>
      <xdr:row>16</xdr:row>
      <xdr:rowOff>38100</xdr:rowOff>
    </xdr:to>
    <xdr:pic>
      <xdr:nvPicPr>
        <xdr:cNvPr id="3" name="Picture 7"/>
        <xdr:cNvPicPr preferRelativeResize="1">
          <a:picLocks noChangeAspect="1"/>
        </xdr:cNvPicPr>
      </xdr:nvPicPr>
      <xdr:blipFill>
        <a:blip r:embed="rId3"/>
        <a:stretch>
          <a:fillRect/>
        </a:stretch>
      </xdr:blipFill>
      <xdr:spPr>
        <a:xfrm>
          <a:off x="1123950" y="2600325"/>
          <a:ext cx="152400" cy="161925"/>
        </a:xfrm>
        <a:prstGeom prst="rect">
          <a:avLst/>
        </a:prstGeom>
        <a:noFill/>
        <a:ln w="9525" cmpd="sng">
          <a:noFill/>
        </a:ln>
      </xdr:spPr>
    </xdr:pic>
    <xdr:clientData/>
  </xdr:twoCellAnchor>
  <xdr:twoCellAnchor editAs="oneCell">
    <xdr:from>
      <xdr:col>1</xdr:col>
      <xdr:colOff>771525</xdr:colOff>
      <xdr:row>22</xdr:row>
      <xdr:rowOff>142875</xdr:rowOff>
    </xdr:from>
    <xdr:to>
      <xdr:col>2</xdr:col>
      <xdr:colOff>152400</xdr:colOff>
      <xdr:row>23</xdr:row>
      <xdr:rowOff>142875</xdr:rowOff>
    </xdr:to>
    <xdr:pic>
      <xdr:nvPicPr>
        <xdr:cNvPr id="4" name="Picture 8"/>
        <xdr:cNvPicPr preferRelativeResize="1">
          <a:picLocks noChangeAspect="1"/>
        </xdr:cNvPicPr>
      </xdr:nvPicPr>
      <xdr:blipFill>
        <a:blip r:embed="rId4"/>
        <a:stretch>
          <a:fillRect/>
        </a:stretch>
      </xdr:blipFill>
      <xdr:spPr>
        <a:xfrm>
          <a:off x="1104900" y="3838575"/>
          <a:ext cx="1714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95"/>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G15" sqref="G15"/>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8" width="7.57421875" style="4" customWidth="1"/>
    <col min="19" max="19" width="9.7109375" style="4" customWidth="1"/>
    <col min="20" max="20" width="8.28125" style="4" customWidth="1"/>
    <col min="21" max="21" width="9.7109375" style="4" customWidth="1"/>
    <col min="22" max="16384" width="9.140625" style="4" customWidth="1"/>
  </cols>
  <sheetData>
    <row r="1" spans="1:21" s="2" customFormat="1" ht="23.25" customHeight="1">
      <c r="A1" s="121" t="s">
        <v>168</v>
      </c>
      <c r="B1" s="122"/>
      <c r="C1" s="122"/>
      <c r="D1" s="122"/>
      <c r="E1" s="123" t="str">
        <f>ROMAN(Location!$B$6)</f>
        <v>MMX</v>
      </c>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51" t="str">
        <f>IF($C$37="A","Sunday",IF($C$37="B","Saturday",IF($C$37="C","Friday",IF($C$37="D","Thursday",IF($C$37="E","Wednesday",IF($C$37="F","Tuesday",IF($C$37="G","Monday")))))))</f>
        <v>Friday</v>
      </c>
      <c r="C3" s="59"/>
      <c r="D3" s="96" t="s">
        <v>61</v>
      </c>
      <c r="E3" s="8" t="s">
        <v>17</v>
      </c>
      <c r="F3" s="6" t="s">
        <v>18</v>
      </c>
      <c r="G3" s="48" t="s">
        <v>19</v>
      </c>
      <c r="H3" s="9">
        <f aca="true" t="shared" si="0" ref="H3:H33">(T3/2)+Q3-"12:00:00"</f>
        <v>12.01688888133115</v>
      </c>
      <c r="I3" s="9">
        <f aca="true" t="shared" si="1" ref="I3:I33">H3+((J3-H3)/2)</f>
        <v>6.1596940992336595</v>
      </c>
      <c r="J3" s="9">
        <f aca="true" t="shared" si="2" ref="J3:J33">P3</f>
        <v>0.3024993171361694</v>
      </c>
      <c r="K3" s="9">
        <f aca="true" t="shared" si="3" ref="K3:K33">J3+((L3-J3)/2)</f>
        <v>0.40969409923365924</v>
      </c>
      <c r="L3" s="9">
        <f aca="true" t="shared" si="4" ref="L3:L33">(R3/2)+J3</f>
        <v>0.5168888813311491</v>
      </c>
      <c r="M3" s="9">
        <f aca="true" t="shared" si="5" ref="M3:M33">((N3-L3)/2)+L3</f>
        <v>0.6240836634286389</v>
      </c>
      <c r="N3" s="9">
        <f aca="true" t="shared" si="6" ref="N3:N33">Q3</f>
        <v>0.7312784455261288</v>
      </c>
      <c r="O3" s="9">
        <f aca="true" t="shared" si="7" ref="O3:O33">3*U3+N3</f>
        <v>0.8740836634286389</v>
      </c>
      <c r="P3" s="9">
        <f>sunrise(Location!$B$4,Location!$B$5,Location!$B$6,1,A3,Location!$B$7,0)</f>
        <v>0.3024993171361694</v>
      </c>
      <c r="Q3" s="9">
        <f>sunset(Location!$B$4,Location!$B$5,Location!$B$6,1,A3,Location!$B$7,0)</f>
        <v>0.7312784455261288</v>
      </c>
      <c r="R3" s="9">
        <f aca="true" t="shared" si="8" ref="R3:R33">Q3-P3</f>
        <v>0.42877912838995935</v>
      </c>
      <c r="S3" s="10">
        <f aca="true" t="shared" si="9" ref="S3:S33">R3/12</f>
        <v>0.035731594032496615</v>
      </c>
      <c r="T3" s="9">
        <f aca="true" t="shared" si="10" ref="T3:T33">(24-(Q3-P3))</f>
        <v>23.57122087161004</v>
      </c>
      <c r="U3" s="10">
        <f aca="true" t="shared" si="11" ref="U3:U33">"1:00:00"-S3+"1:00:00"</f>
        <v>0.047601739300836714</v>
      </c>
    </row>
    <row r="4" spans="1:21" ht="12.75">
      <c r="A4" s="5">
        <v>2</v>
      </c>
      <c r="B4" s="51" t="str">
        <f>IF($C$37="A","Monday",IF($C$37="B","Sunday",IF($C$37="C","Saturday",IF($C$37="D","Friday",IF($C$37="E","Thursday",IF($C$37="F","Wednesday",IF($C$37="G","Tuesday")))))))</f>
        <v>Saturday</v>
      </c>
      <c r="C4" s="59"/>
      <c r="D4" s="7"/>
      <c r="E4" s="8" t="s">
        <v>21</v>
      </c>
      <c r="F4" s="6" t="s">
        <v>22</v>
      </c>
      <c r="G4" s="45"/>
      <c r="H4" s="9">
        <f t="shared" si="0"/>
        <v>12.017215568587428</v>
      </c>
      <c r="I4" s="9">
        <f t="shared" si="1"/>
        <v>6.159936749883157</v>
      </c>
      <c r="J4" s="9">
        <f t="shared" si="2"/>
        <v>0.3026579311788873</v>
      </c>
      <c r="K4" s="9">
        <f t="shared" si="3"/>
        <v>0.40993674988315787</v>
      </c>
      <c r="L4" s="9">
        <f t="shared" si="4"/>
        <v>0.5172155685874285</v>
      </c>
      <c r="M4" s="9">
        <f t="shared" si="5"/>
        <v>0.624494387291699</v>
      </c>
      <c r="N4" s="9">
        <f t="shared" si="6"/>
        <v>0.7317732059959697</v>
      </c>
      <c r="O4" s="9">
        <f t="shared" si="7"/>
        <v>0.874494387291699</v>
      </c>
      <c r="P4" s="9">
        <f>sunrise(Location!$B$4,Location!$B$5,Location!$B$6,1,A4,Location!$B$7,0)</f>
        <v>0.3026579311788873</v>
      </c>
      <c r="Q4" s="9">
        <f>sunset(Location!$B$4,Location!$B$5,Location!$B$6,1,A4,Location!$B$7,0)</f>
        <v>0.7317732059959697</v>
      </c>
      <c r="R4" s="9">
        <f t="shared" si="8"/>
        <v>0.42911527481708245</v>
      </c>
      <c r="S4" s="10">
        <f t="shared" si="9"/>
        <v>0.03575960623475687</v>
      </c>
      <c r="T4" s="9">
        <f t="shared" si="10"/>
        <v>23.570884725182918</v>
      </c>
      <c r="U4" s="10">
        <f t="shared" si="11"/>
        <v>0.047573727098576456</v>
      </c>
    </row>
    <row r="5" spans="1:21" ht="12.75">
      <c r="A5" s="5">
        <v>3</v>
      </c>
      <c r="B5" s="51" t="str">
        <f>IF($C$37="A","Tuesday",IF($C$37="B","Monday",IF($C$37="C","Sunday",IF($C$37="D","Saturday",IF($C$37="E","Friday",IF($C$37="F","Thursday",IF($C$37="G","Wednesday")))))))</f>
        <v>Sunday</v>
      </c>
      <c r="C5" s="59"/>
      <c r="D5" s="7"/>
      <c r="E5" s="8" t="s">
        <v>24</v>
      </c>
      <c r="F5" s="6" t="s">
        <v>25</v>
      </c>
      <c r="G5" s="128" t="s">
        <v>264</v>
      </c>
      <c r="H5" s="9">
        <f t="shared" si="0"/>
        <v>12.017538136397043</v>
      </c>
      <c r="I5" s="9">
        <f t="shared" si="1"/>
        <v>6.160168311344716</v>
      </c>
      <c r="J5" s="9">
        <f t="shared" si="2"/>
        <v>0.3027984862923893</v>
      </c>
      <c r="K5" s="9">
        <f t="shared" si="3"/>
        <v>0.4101683113447159</v>
      </c>
      <c r="L5" s="9">
        <f t="shared" si="4"/>
        <v>0.5175381363970424</v>
      </c>
      <c r="M5" s="9">
        <f t="shared" si="5"/>
        <v>0.6249079614493689</v>
      </c>
      <c r="N5" s="9">
        <f t="shared" si="6"/>
        <v>0.7322777865016955</v>
      </c>
      <c r="O5" s="9">
        <f t="shared" si="7"/>
        <v>0.8749079614493689</v>
      </c>
      <c r="P5" s="9">
        <f>sunrise(Location!$B$4,Location!$B$5,Location!$B$6,1,A5,Location!$B$7,0)</f>
        <v>0.3027984862923893</v>
      </c>
      <c r="Q5" s="9">
        <f>sunset(Location!$B$4,Location!$B$5,Location!$B$6,1,A5,Location!$B$7,0)</f>
        <v>0.7322777865016955</v>
      </c>
      <c r="R5" s="9">
        <f t="shared" si="8"/>
        <v>0.4294793002093062</v>
      </c>
      <c r="S5" s="10">
        <f t="shared" si="9"/>
        <v>0.03578994168410885</v>
      </c>
      <c r="T5" s="9">
        <f t="shared" si="10"/>
        <v>23.570520699790695</v>
      </c>
      <c r="U5" s="10">
        <f t="shared" si="11"/>
        <v>0.04754339164922448</v>
      </c>
    </row>
    <row r="6" spans="1:21" ht="12.75">
      <c r="A6" s="5">
        <v>4</v>
      </c>
      <c r="B6" s="51" t="str">
        <f>IF($C$37="A","Wednesday",IF($C$37="B","Tuesday",IF($C$37="C","Monday",IF($C$37="D","Sunday",IF($C$37="E","Saturday",IF($C$37="F","Friday",IF($C$37="G","Thursday")))))))</f>
        <v>Monday</v>
      </c>
      <c r="C6" s="59"/>
      <c r="D6" s="95" t="s">
        <v>64</v>
      </c>
      <c r="E6" s="8" t="s">
        <v>26</v>
      </c>
      <c r="F6" s="6" t="s">
        <v>27</v>
      </c>
      <c r="G6" s="45"/>
      <c r="H6" s="9">
        <f t="shared" si="0"/>
        <v>12.017856244065301</v>
      </c>
      <c r="I6" s="9">
        <f t="shared" si="1"/>
        <v>6.160388521257684</v>
      </c>
      <c r="J6" s="9">
        <f t="shared" si="2"/>
        <v>0.3029207984500669</v>
      </c>
      <c r="K6" s="9">
        <f t="shared" si="3"/>
        <v>0.41038852125768466</v>
      </c>
      <c r="L6" s="9">
        <f t="shared" si="4"/>
        <v>0.5178562440653024</v>
      </c>
      <c r="M6" s="9">
        <f t="shared" si="5"/>
        <v>0.6253239668729201</v>
      </c>
      <c r="N6" s="9">
        <f t="shared" si="6"/>
        <v>0.7327916896805379</v>
      </c>
      <c r="O6" s="9">
        <f t="shared" si="7"/>
        <v>0.8753239668729201</v>
      </c>
      <c r="P6" s="9">
        <f>sunrise(Location!$B$4,Location!$B$5,Location!$B$6,1,A6,Location!$B$7,0)</f>
        <v>0.3029207984500669</v>
      </c>
      <c r="Q6" s="9">
        <f>sunset(Location!$B$4,Location!$B$5,Location!$B$6,1,A6,Location!$B$7,0)</f>
        <v>0.7327916896805379</v>
      </c>
      <c r="R6" s="9">
        <f t="shared" si="8"/>
        <v>0.42987089123047095</v>
      </c>
      <c r="S6" s="10">
        <f t="shared" si="9"/>
        <v>0.03582257426920591</v>
      </c>
      <c r="T6" s="9">
        <f t="shared" si="10"/>
        <v>23.570129108769528</v>
      </c>
      <c r="U6" s="10">
        <f t="shared" si="11"/>
        <v>0.04751075906412742</v>
      </c>
    </row>
    <row r="7" spans="1:21" ht="12.75">
      <c r="A7" s="5">
        <v>5</v>
      </c>
      <c r="B7" s="51" t="str">
        <f>IF($C$37="A","Thursday",IF($C$37="B","Wednesday",IF($C$37="C","Tuesday",IF($C$37="D","Monday",IF($C$37="E","Sunday",IF($C$37="F","Saturday",IF($C$37="G","Friday")))))))</f>
        <v>Tuesday</v>
      </c>
      <c r="C7" s="59"/>
      <c r="D7" s="95" t="s">
        <v>67</v>
      </c>
      <c r="E7" s="8" t="s">
        <v>29</v>
      </c>
      <c r="F7" s="6" t="s">
        <v>30</v>
      </c>
      <c r="G7" s="106" t="s">
        <v>233</v>
      </c>
      <c r="H7" s="9">
        <f t="shared" si="0"/>
        <v>12.018169558648534</v>
      </c>
      <c r="I7" s="9">
        <f t="shared" si="1"/>
        <v>6.160597130316281</v>
      </c>
      <c r="J7" s="9">
        <f t="shared" si="2"/>
        <v>0.3030247019840294</v>
      </c>
      <c r="K7" s="9">
        <f t="shared" si="3"/>
        <v>0.4105971303162825</v>
      </c>
      <c r="L7" s="9">
        <f t="shared" si="4"/>
        <v>0.5181695586485355</v>
      </c>
      <c r="M7" s="9">
        <f t="shared" si="5"/>
        <v>0.6257419869807886</v>
      </c>
      <c r="N7" s="9">
        <f t="shared" si="6"/>
        <v>0.7333144153130418</v>
      </c>
      <c r="O7" s="9">
        <f>3*U7+N7</f>
        <v>0.8757419869807886</v>
      </c>
      <c r="P7" s="9">
        <f>sunrise(Location!$B$4,Location!$B$5,Location!$B$6,1,A7,Location!$B$7,0)</f>
        <v>0.3030247019840294</v>
      </c>
      <c r="Q7" s="9">
        <f>sunset(Location!$B$4,Location!$B$5,Location!$B$6,1,A7,Location!$B$7,0)</f>
        <v>0.7333144153130418</v>
      </c>
      <c r="R7" s="9">
        <f t="shared" si="8"/>
        <v>0.43028971332901234</v>
      </c>
      <c r="S7" s="10">
        <f t="shared" si="9"/>
        <v>0.035857476110751026</v>
      </c>
      <c r="T7" s="9">
        <f t="shared" si="10"/>
        <v>23.569710286670986</v>
      </c>
      <c r="U7" s="10">
        <f t="shared" si="11"/>
        <v>0.0474758572225823</v>
      </c>
    </row>
    <row r="8" spans="1:21" ht="12.75">
      <c r="A8" s="5">
        <v>6</v>
      </c>
      <c r="B8" s="51" t="str">
        <f>IF($C$37="A","Friday",IF($C$37="B","Thursday",IF($C$37="C","Wednesday",IF($C$37="D","Tuesday",IF($C$37="E","Monday",IF($C$37="F","Sunday",IF($C$37="G","Saturday")))))))</f>
        <v>Wednesday</v>
      </c>
      <c r="C8" s="61"/>
      <c r="D8" s="95" t="s">
        <v>69</v>
      </c>
      <c r="E8" s="8" t="s">
        <v>32</v>
      </c>
      <c r="F8" s="6" t="s">
        <v>33</v>
      </c>
      <c r="G8" s="48" t="s">
        <v>34</v>
      </c>
      <c r="H8" s="9">
        <f t="shared" si="0"/>
        <v>12.018477755465852</v>
      </c>
      <c r="I8" s="9">
        <f t="shared" si="1"/>
        <v>6.160793902526545</v>
      </c>
      <c r="J8" s="9">
        <f t="shared" si="2"/>
        <v>0.30311004958723786</v>
      </c>
      <c r="K8" s="9">
        <f t="shared" si="3"/>
        <v>0.41079390252654474</v>
      </c>
      <c r="L8" s="9">
        <f t="shared" si="4"/>
        <v>0.5184777554658516</v>
      </c>
      <c r="M8" s="9">
        <f t="shared" si="5"/>
        <v>0.6261616084051584</v>
      </c>
      <c r="N8" s="9">
        <f t="shared" si="6"/>
        <v>0.7338454613444654</v>
      </c>
      <c r="O8" s="9">
        <f t="shared" si="7"/>
        <v>0.8761616084051584</v>
      </c>
      <c r="P8" s="9">
        <f>sunrise(Location!$B$4,Location!$B$5,Location!$B$6,1,A8,Location!$B$7,0)</f>
        <v>0.30311004958723786</v>
      </c>
      <c r="Q8" s="9">
        <f>sunset(Location!$B$4,Location!$B$5,Location!$B$6,1,A8,Location!$B$7,0)</f>
        <v>0.7338454613444654</v>
      </c>
      <c r="R8" s="9">
        <f t="shared" si="8"/>
        <v>0.4307354117572275</v>
      </c>
      <c r="S8" s="10">
        <f t="shared" si="9"/>
        <v>0.035894617646435624</v>
      </c>
      <c r="T8" s="9">
        <f t="shared" si="10"/>
        <v>23.569264588242774</v>
      </c>
      <c r="U8" s="10">
        <f t="shared" si="11"/>
        <v>0.047438715686897705</v>
      </c>
    </row>
    <row r="9" spans="1:21" ht="12.75">
      <c r="A9" s="5">
        <v>7</v>
      </c>
      <c r="B9" s="51" t="str">
        <f>IF($C$37="A","Saturday",IF($C$37="B","Friday",IF($C$37="C","Thursday",IF($C$37="D","Wednesday",IF($C$37="E","Tuesday",IF($C$37="F","Monday",IF($C$37="G","Sunday")))))))</f>
        <v>Thursday</v>
      </c>
      <c r="C9" s="59"/>
      <c r="D9" s="7"/>
      <c r="E9" s="8" t="s">
        <v>36</v>
      </c>
      <c r="F9" s="6" t="s">
        <v>37</v>
      </c>
      <c r="G9" s="83"/>
      <c r="H9" s="9">
        <f t="shared" si="0"/>
        <v>12.018780518590566</v>
      </c>
      <c r="I9" s="9">
        <f t="shared" si="1"/>
        <v>6.160978615430971</v>
      </c>
      <c r="J9" s="9">
        <f t="shared" si="2"/>
        <v>0.30317671227137744</v>
      </c>
      <c r="K9" s="9">
        <f t="shared" si="3"/>
        <v>0.41097861543097125</v>
      </c>
      <c r="L9" s="9">
        <f t="shared" si="4"/>
        <v>0.5187805185905651</v>
      </c>
      <c r="M9" s="9">
        <f t="shared" si="5"/>
        <v>0.6265824217501589</v>
      </c>
      <c r="N9" s="9">
        <f t="shared" si="6"/>
        <v>0.7343843249097527</v>
      </c>
      <c r="O9" s="9">
        <f t="shared" si="7"/>
        <v>0.8765824217501589</v>
      </c>
      <c r="P9" s="9">
        <f>sunrise(Location!$B$4,Location!$B$5,Location!$B$6,1,A9,Location!$B$7,0)</f>
        <v>0.30317671227137744</v>
      </c>
      <c r="Q9" s="9">
        <f>sunset(Location!$B$4,Location!$B$5,Location!$B$6,1,A9,Location!$B$7,0)</f>
        <v>0.7343843249097527</v>
      </c>
      <c r="R9" s="9">
        <f t="shared" si="8"/>
        <v>0.43120761263837526</v>
      </c>
      <c r="S9" s="10">
        <f t="shared" si="9"/>
        <v>0.0359339677198646</v>
      </c>
      <c r="T9" s="9">
        <f t="shared" si="10"/>
        <v>23.568792387361626</v>
      </c>
      <c r="U9" s="10">
        <f t="shared" si="11"/>
        <v>0.047399365613468726</v>
      </c>
    </row>
    <row r="10" spans="1:21" ht="12.75">
      <c r="A10" s="5">
        <v>8</v>
      </c>
      <c r="B10" s="51" t="str">
        <f aca="true" t="shared" si="12" ref="B10:B16">B3</f>
        <v>Friday</v>
      </c>
      <c r="C10" s="59"/>
      <c r="D10" s="95" t="s">
        <v>72</v>
      </c>
      <c r="E10" s="8" t="s">
        <v>17</v>
      </c>
      <c r="F10" s="6" t="s">
        <v>39</v>
      </c>
      <c r="G10" s="83"/>
      <c r="H10" s="9">
        <f t="shared" si="0"/>
        <v>12.019077541318731</v>
      </c>
      <c r="I10" s="9">
        <f t="shared" si="1"/>
        <v>6.161151060301334</v>
      </c>
      <c r="J10" s="9">
        <f t="shared" si="2"/>
        <v>0.30322457928393687</v>
      </c>
      <c r="K10" s="9">
        <f t="shared" si="3"/>
        <v>0.41115106030133436</v>
      </c>
      <c r="L10" s="9">
        <f t="shared" si="4"/>
        <v>0.5190775413187318</v>
      </c>
      <c r="M10" s="9">
        <f t="shared" si="5"/>
        <v>0.6270040223361293</v>
      </c>
      <c r="N10" s="9">
        <f t="shared" si="6"/>
        <v>0.7349305033535267</v>
      </c>
      <c r="O10" s="9">
        <f t="shared" si="7"/>
        <v>0.8770040223361293</v>
      </c>
      <c r="P10" s="9">
        <f>sunrise(Location!$B$4,Location!$B$5,Location!$B$6,1,A10,Location!$B$7,0)</f>
        <v>0.30322457928393687</v>
      </c>
      <c r="Q10" s="9">
        <f>sunset(Location!$B$4,Location!$B$5,Location!$B$6,1,A10,Location!$B$7,0)</f>
        <v>0.7349305033535267</v>
      </c>
      <c r="R10" s="9">
        <f t="shared" si="8"/>
        <v>0.43170592406958985</v>
      </c>
      <c r="S10" s="10">
        <f t="shared" si="9"/>
        <v>0.03597549367246582</v>
      </c>
      <c r="T10" s="9">
        <f t="shared" si="10"/>
        <v>23.56829407593041</v>
      </c>
      <c r="U10" s="10">
        <f t="shared" si="11"/>
        <v>0.047357839660867505</v>
      </c>
    </row>
    <row r="11" spans="1:21" ht="12.75">
      <c r="A11" s="5">
        <v>9</v>
      </c>
      <c r="B11" s="51" t="str">
        <f t="shared" si="12"/>
        <v>Saturday</v>
      </c>
      <c r="C11" s="59"/>
      <c r="D11" s="95" t="s">
        <v>75</v>
      </c>
      <c r="E11" s="8" t="s">
        <v>21</v>
      </c>
      <c r="F11" s="6" t="s">
        <v>41</v>
      </c>
      <c r="G11" s="83"/>
      <c r="H11" s="9">
        <f t="shared" si="0"/>
        <v>12.019368526614283</v>
      </c>
      <c r="I11" s="9">
        <f t="shared" si="1"/>
        <v>6.161311042299892</v>
      </c>
      <c r="J11" s="9">
        <f t="shared" si="2"/>
        <v>0.30325355798550035</v>
      </c>
      <c r="K11" s="9">
        <f t="shared" si="3"/>
        <v>0.41131104229989185</v>
      </c>
      <c r="L11" s="9">
        <f t="shared" si="4"/>
        <v>0.5193685266142833</v>
      </c>
      <c r="M11" s="9">
        <f t="shared" si="5"/>
        <v>0.6274260109286749</v>
      </c>
      <c r="N11" s="9">
        <f t="shared" si="6"/>
        <v>0.7354834952430663</v>
      </c>
      <c r="O11" s="9">
        <f t="shared" si="7"/>
        <v>0.8774260109286749</v>
      </c>
      <c r="P11" s="9">
        <f>sunrise(Location!$B$4,Location!$B$5,Location!$B$6,1,A11,Location!$B$7,0)</f>
        <v>0.30325355798550035</v>
      </c>
      <c r="Q11" s="9">
        <f>sunset(Location!$B$4,Location!$B$5,Location!$B$6,1,A11,Location!$B$7,0)</f>
        <v>0.7354834952430663</v>
      </c>
      <c r="R11" s="9">
        <f t="shared" si="8"/>
        <v>0.432229937257566</v>
      </c>
      <c r="S11" s="10">
        <f t="shared" si="9"/>
        <v>0.0360191614381305</v>
      </c>
      <c r="T11" s="9">
        <f t="shared" si="10"/>
        <v>23.567770062742433</v>
      </c>
      <c r="U11" s="10">
        <f t="shared" si="11"/>
        <v>0.04731417189520283</v>
      </c>
    </row>
    <row r="12" spans="1:21" ht="12.75">
      <c r="A12" s="5">
        <v>10</v>
      </c>
      <c r="B12" s="51" t="str">
        <f t="shared" si="12"/>
        <v>Sunday</v>
      </c>
      <c r="C12" s="59"/>
      <c r="D12" s="7"/>
      <c r="E12" s="8" t="s">
        <v>24</v>
      </c>
      <c r="F12" s="6" t="s">
        <v>43</v>
      </c>
      <c r="G12" s="133" t="s">
        <v>266</v>
      </c>
      <c r="H12" s="9">
        <f t="shared" si="0"/>
        <v>12.019653187529991</v>
      </c>
      <c r="I12" s="9">
        <f t="shared" si="1"/>
        <v>6.161458380610014</v>
      </c>
      <c r="J12" s="9">
        <f t="shared" si="2"/>
        <v>0.3032635736900365</v>
      </c>
      <c r="K12" s="9">
        <f t="shared" si="3"/>
        <v>0.4114583806100143</v>
      </c>
      <c r="L12" s="9">
        <f t="shared" si="4"/>
        <v>0.5196531875299921</v>
      </c>
      <c r="M12" s="9">
        <f t="shared" si="5"/>
        <v>0.62784799444997</v>
      </c>
      <c r="N12" s="9">
        <f t="shared" si="6"/>
        <v>0.7360428013699477</v>
      </c>
      <c r="O12" s="9">
        <f t="shared" si="7"/>
        <v>0.8778479944499699</v>
      </c>
      <c r="P12" s="9">
        <f>sunrise(Location!$B$4,Location!$B$5,Location!$B$6,1,A12,Location!$B$7,0)</f>
        <v>0.3032635736900365</v>
      </c>
      <c r="Q12" s="9">
        <f>sunset(Location!$B$4,Location!$B$5,Location!$B$6,1,A12,Location!$B$7,0)</f>
        <v>0.7360428013699477</v>
      </c>
      <c r="R12" s="9">
        <f t="shared" si="8"/>
        <v>0.4327792276799112</v>
      </c>
      <c r="S12" s="10">
        <f t="shared" si="9"/>
        <v>0.0360649356399926</v>
      </c>
      <c r="T12" s="9">
        <f t="shared" si="10"/>
        <v>23.567220772320088</v>
      </c>
      <c r="U12" s="10">
        <f t="shared" si="11"/>
        <v>0.04726839769334073</v>
      </c>
    </row>
    <row r="13" spans="1:21" ht="12.75">
      <c r="A13" s="5">
        <v>11</v>
      </c>
      <c r="B13" s="51" t="str">
        <f t="shared" si="12"/>
        <v>Monday</v>
      </c>
      <c r="C13" s="59"/>
      <c r="D13" s="95" t="s">
        <v>20</v>
      </c>
      <c r="E13" s="8" t="s">
        <v>26</v>
      </c>
      <c r="F13" s="6" t="s">
        <v>44</v>
      </c>
      <c r="G13" s="85"/>
      <c r="H13" s="9">
        <f t="shared" si="0"/>
        <v>12.019931247603465</v>
      </c>
      <c r="I13" s="9">
        <f t="shared" si="1"/>
        <v>6.161592908537007</v>
      </c>
      <c r="J13" s="9">
        <f t="shared" si="2"/>
        <v>0.3032545694705503</v>
      </c>
      <c r="K13" s="9">
        <f t="shared" si="3"/>
        <v>0.4115929085370072</v>
      </c>
      <c r="L13" s="9">
        <f t="shared" si="4"/>
        <v>0.5199312476034641</v>
      </c>
      <c r="M13" s="9">
        <f t="shared" si="5"/>
        <v>0.628269586669921</v>
      </c>
      <c r="N13" s="9">
        <f t="shared" si="6"/>
        <v>0.7366079257363779</v>
      </c>
      <c r="O13" s="9">
        <f t="shared" si="7"/>
        <v>0.878269586669921</v>
      </c>
      <c r="P13" s="9">
        <f>sunrise(Location!$B$4,Location!$B$5,Location!$B$6,1,A13,Location!$B$7,0)</f>
        <v>0.3032545694705503</v>
      </c>
      <c r="Q13" s="9">
        <f>sunset(Location!$B$4,Location!$B$5,Location!$B$6,1,A13,Location!$B$7,0)</f>
        <v>0.7366079257363779</v>
      </c>
      <c r="R13" s="9">
        <f t="shared" si="8"/>
        <v>0.4333533562658276</v>
      </c>
      <c r="S13" s="10">
        <f t="shared" si="9"/>
        <v>0.036112779688818965</v>
      </c>
      <c r="T13" s="9">
        <f t="shared" si="10"/>
        <v>23.566646643734174</v>
      </c>
      <c r="U13" s="10">
        <f t="shared" si="11"/>
        <v>0.047220553644514364</v>
      </c>
    </row>
    <row r="14" spans="1:21" ht="12.75">
      <c r="A14" s="5">
        <v>12</v>
      </c>
      <c r="B14" s="51" t="str">
        <f t="shared" si="12"/>
        <v>Tuesday</v>
      </c>
      <c r="C14" s="59"/>
      <c r="D14" s="7"/>
      <c r="E14" s="8" t="s">
        <v>29</v>
      </c>
      <c r="F14" s="6" t="s">
        <v>46</v>
      </c>
      <c r="G14" s="83"/>
      <c r="H14" s="9">
        <f t="shared" si="0"/>
        <v>12.020202441226036</v>
      </c>
      <c r="I14" s="9">
        <f t="shared" si="1"/>
        <v>6.161714473579074</v>
      </c>
      <c r="J14" s="9">
        <f t="shared" si="2"/>
        <v>0.3032265059321104</v>
      </c>
      <c r="K14" s="9">
        <f t="shared" si="3"/>
        <v>0.41171447357907376</v>
      </c>
      <c r="L14" s="9">
        <f t="shared" si="4"/>
        <v>0.5202024412260371</v>
      </c>
      <c r="M14" s="9">
        <f t="shared" si="5"/>
        <v>0.6286904088730004</v>
      </c>
      <c r="N14" s="9">
        <f t="shared" si="6"/>
        <v>0.7371783765199638</v>
      </c>
      <c r="O14" s="9">
        <f t="shared" si="7"/>
        <v>0.8786904088730004</v>
      </c>
      <c r="P14" s="9">
        <f>sunrise(Location!$B$4,Location!$B$5,Location!$B$6,1,A14,Location!$B$7,0)</f>
        <v>0.3032265059321104</v>
      </c>
      <c r="Q14" s="9">
        <f>sunset(Location!$B$4,Location!$B$5,Location!$B$6,1,A14,Location!$B$7,0)</f>
        <v>0.7371783765199638</v>
      </c>
      <c r="R14" s="9">
        <f t="shared" si="8"/>
        <v>0.43395187058785334</v>
      </c>
      <c r="S14" s="10">
        <f t="shared" si="9"/>
        <v>0.036162655882321114</v>
      </c>
      <c r="T14" s="9">
        <f t="shared" si="10"/>
        <v>23.566048129412145</v>
      </c>
      <c r="U14" s="10">
        <f t="shared" si="11"/>
        <v>0.047170677451012215</v>
      </c>
    </row>
    <row r="15" spans="1:21" ht="12.75">
      <c r="A15" s="5">
        <v>13</v>
      </c>
      <c r="B15" s="51" t="str">
        <f t="shared" si="12"/>
        <v>Wednesday</v>
      </c>
      <c r="C15" s="59"/>
      <c r="D15" s="95" t="s">
        <v>23</v>
      </c>
      <c r="E15" s="8" t="s">
        <v>32</v>
      </c>
      <c r="F15" s="6" t="s">
        <v>47</v>
      </c>
      <c r="G15" s="84"/>
      <c r="H15" s="9">
        <f t="shared" si="0"/>
        <v>12.02046651398684</v>
      </c>
      <c r="I15" s="9">
        <f t="shared" si="1"/>
        <v>6.161822937470889</v>
      </c>
      <c r="J15" s="9">
        <f t="shared" si="2"/>
        <v>0.3031793609549394</v>
      </c>
      <c r="K15" s="9">
        <f t="shared" si="3"/>
        <v>0.4118229374708896</v>
      </c>
      <c r="L15" s="9">
        <f t="shared" si="4"/>
        <v>0.5204665139868397</v>
      </c>
      <c r="M15" s="9">
        <f t="shared" si="5"/>
        <v>0.62911009050279</v>
      </c>
      <c r="N15" s="9">
        <f t="shared" si="6"/>
        <v>0.7377536670187401</v>
      </c>
      <c r="O15" s="9">
        <f t="shared" si="7"/>
        <v>0.87911009050279</v>
      </c>
      <c r="P15" s="9">
        <f>sunrise(Location!$B$4,Location!$B$5,Location!$B$6,1,A15,Location!$B$7,0)</f>
        <v>0.3031793609549394</v>
      </c>
      <c r="Q15" s="9">
        <f>sunset(Location!$B$4,Location!$B$5,Location!$B$6,1,A15,Location!$B$7,0)</f>
        <v>0.7377536670187401</v>
      </c>
      <c r="R15" s="9">
        <f t="shared" si="8"/>
        <v>0.4345743060638007</v>
      </c>
      <c r="S15" s="10">
        <f t="shared" si="9"/>
        <v>0.03621452550531672</v>
      </c>
      <c r="T15" s="9">
        <f t="shared" si="10"/>
        <v>23.5654256939362</v>
      </c>
      <c r="U15" s="10">
        <f t="shared" si="11"/>
        <v>0.047118807828016605</v>
      </c>
    </row>
    <row r="16" spans="1:21" ht="12.75">
      <c r="A16" s="5">
        <v>14</v>
      </c>
      <c r="B16" s="51" t="str">
        <f t="shared" si="12"/>
        <v>Thursday</v>
      </c>
      <c r="C16" s="59"/>
      <c r="D16" s="95" t="s">
        <v>28</v>
      </c>
      <c r="E16" s="8" t="s">
        <v>36</v>
      </c>
      <c r="F16" s="6" t="s">
        <v>49</v>
      </c>
      <c r="G16" s="83"/>
      <c r="H16" s="9">
        <f t="shared" si="0"/>
        <v>12.020723222988135</v>
      </c>
      <c r="I16" s="9">
        <f t="shared" si="1"/>
        <v>6.161918176198875</v>
      </c>
      <c r="J16" s="9">
        <f t="shared" si="2"/>
        <v>0.30311312940961543</v>
      </c>
      <c r="K16" s="9">
        <f t="shared" si="3"/>
        <v>0.41191817619887583</v>
      </c>
      <c r="L16" s="9">
        <f t="shared" si="4"/>
        <v>0.5207232229881362</v>
      </c>
      <c r="M16" s="9">
        <f t="shared" si="5"/>
        <v>0.6295282697773965</v>
      </c>
      <c r="N16" s="9">
        <f t="shared" si="6"/>
        <v>0.7383333165666569</v>
      </c>
      <c r="O16" s="9">
        <f t="shared" si="7"/>
        <v>0.8795282697773965</v>
      </c>
      <c r="P16" s="9">
        <f>sunrise(Location!$B$4,Location!$B$5,Location!$B$6,1,A16,Location!$B$7,0)</f>
        <v>0.30311312940961543</v>
      </c>
      <c r="Q16" s="9">
        <f>sunset(Location!$B$4,Location!$B$5,Location!$B$6,1,A16,Location!$B$7,0)</f>
        <v>0.7383333165666569</v>
      </c>
      <c r="R16" s="9">
        <f t="shared" si="8"/>
        <v>0.43522018715704147</v>
      </c>
      <c r="S16" s="10">
        <f t="shared" si="9"/>
        <v>0.036268348929753454</v>
      </c>
      <c r="T16" s="9">
        <f t="shared" si="10"/>
        <v>23.564779812842957</v>
      </c>
      <c r="U16" s="10">
        <f t="shared" si="11"/>
        <v>0.047064984403579875</v>
      </c>
    </row>
    <row r="17" spans="1:21" ht="12.75">
      <c r="A17" s="5">
        <v>15</v>
      </c>
      <c r="B17" s="51" t="str">
        <f aca="true" t="shared" si="13" ref="B17:B23">B3</f>
        <v>Friday</v>
      </c>
      <c r="C17" s="59"/>
      <c r="D17" s="7"/>
      <c r="E17" s="8" t="s">
        <v>17</v>
      </c>
      <c r="F17" s="6" t="s">
        <v>51</v>
      </c>
      <c r="G17" s="83"/>
      <c r="H17" s="9">
        <f t="shared" si="0"/>
        <v>12.020972337133827</v>
      </c>
      <c r="I17" s="9">
        <f t="shared" si="1"/>
        <v>6.162000079990535</v>
      </c>
      <c r="J17" s="9">
        <f t="shared" si="2"/>
        <v>0.30302782284724217</v>
      </c>
      <c r="K17" s="9">
        <f t="shared" si="3"/>
        <v>0.41200007999053495</v>
      </c>
      <c r="L17" s="9">
        <f t="shared" si="4"/>
        <v>0.5209723371338277</v>
      </c>
      <c r="M17" s="9">
        <f t="shared" si="5"/>
        <v>0.6299445942771205</v>
      </c>
      <c r="N17" s="9">
        <f t="shared" si="6"/>
        <v>0.7389168514204133</v>
      </c>
      <c r="O17" s="9">
        <f t="shared" si="7"/>
        <v>0.8799445942771205</v>
      </c>
      <c r="P17" s="9">
        <f>sunrise(Location!$B$4,Location!$B$5,Location!$B$6,1,A17,Location!$B$7,0)</f>
        <v>0.30302782284724217</v>
      </c>
      <c r="Q17" s="9">
        <f>sunset(Location!$B$4,Location!$B$5,Location!$B$6,1,A17,Location!$B$7,0)</f>
        <v>0.7389168514204133</v>
      </c>
      <c r="R17" s="9">
        <f t="shared" si="8"/>
        <v>0.43588902857317113</v>
      </c>
      <c r="S17" s="10">
        <f t="shared" si="9"/>
        <v>0.03632408571443093</v>
      </c>
      <c r="T17" s="9">
        <f t="shared" si="10"/>
        <v>23.564110971426828</v>
      </c>
      <c r="U17" s="10">
        <f t="shared" si="11"/>
        <v>0.0470092476189024</v>
      </c>
    </row>
    <row r="18" spans="1:21" ht="12.75">
      <c r="A18" s="5">
        <v>16</v>
      </c>
      <c r="B18" s="51" t="str">
        <f t="shared" si="13"/>
        <v>Saturday</v>
      </c>
      <c r="C18" s="59"/>
      <c r="D18" s="95" t="s">
        <v>35</v>
      </c>
      <c r="E18" s="8" t="s">
        <v>21</v>
      </c>
      <c r="F18" s="6" t="s">
        <v>52</v>
      </c>
      <c r="G18" s="84"/>
      <c r="H18" s="9">
        <f t="shared" si="0"/>
        <v>12.02121363738962</v>
      </c>
      <c r="I18" s="9">
        <f t="shared" si="1"/>
        <v>6.162068553277929</v>
      </c>
      <c r="J18" s="9">
        <f t="shared" si="2"/>
        <v>0.3029234691662379</v>
      </c>
      <c r="K18" s="9">
        <f t="shared" si="3"/>
        <v>0.41206855327792885</v>
      </c>
      <c r="L18" s="9">
        <f t="shared" si="4"/>
        <v>0.5212136373896198</v>
      </c>
      <c r="M18" s="9">
        <f t="shared" si="5"/>
        <v>0.6303587215013107</v>
      </c>
      <c r="N18" s="9">
        <f t="shared" si="6"/>
        <v>0.7395038056130017</v>
      </c>
      <c r="O18" s="9">
        <f t="shared" si="7"/>
        <v>0.8803587215013107</v>
      </c>
      <c r="P18" s="9">
        <f>sunrise(Location!$B$4,Location!$B$5,Location!$B$6,1,A18,Location!$B$7,0)</f>
        <v>0.3029234691662379</v>
      </c>
      <c r="Q18" s="9">
        <f>sunset(Location!$B$4,Location!$B$5,Location!$B$6,1,A18,Location!$B$7,0)</f>
        <v>0.7395038056130017</v>
      </c>
      <c r="R18" s="9">
        <f t="shared" si="8"/>
        <v>0.43658033644676375</v>
      </c>
      <c r="S18" s="10">
        <f t="shared" si="9"/>
        <v>0.03638169470389698</v>
      </c>
      <c r="T18" s="9">
        <f t="shared" si="10"/>
        <v>23.563419663553237</v>
      </c>
      <c r="U18" s="10">
        <f t="shared" si="11"/>
        <v>0.04695163862943635</v>
      </c>
    </row>
    <row r="19" spans="1:21" ht="12.75">
      <c r="A19" s="5">
        <v>17</v>
      </c>
      <c r="B19" s="51" t="str">
        <f t="shared" si="13"/>
        <v>Sunday</v>
      </c>
      <c r="C19" s="59"/>
      <c r="D19" s="95" t="s">
        <v>38</v>
      </c>
      <c r="E19" s="8" t="s">
        <v>24</v>
      </c>
      <c r="F19" s="6" t="s">
        <v>54</v>
      </c>
      <c r="G19" s="129" t="s">
        <v>265</v>
      </c>
      <c r="H19" s="9">
        <f t="shared" si="0"/>
        <v>12.021446917015178</v>
      </c>
      <c r="I19" s="9">
        <f t="shared" si="1"/>
        <v>6.162123514636936</v>
      </c>
      <c r="J19" s="9">
        <f t="shared" si="2"/>
        <v>0.3028001122586949</v>
      </c>
      <c r="K19" s="9">
        <f t="shared" si="3"/>
        <v>0.412123514636936</v>
      </c>
      <c r="L19" s="9">
        <f t="shared" si="4"/>
        <v>0.521446917015177</v>
      </c>
      <c r="M19" s="9">
        <f t="shared" si="5"/>
        <v>0.630770319393418</v>
      </c>
      <c r="N19" s="9">
        <f t="shared" si="6"/>
        <v>0.740093721771659</v>
      </c>
      <c r="O19" s="9">
        <f t="shared" si="7"/>
        <v>0.880770319393418</v>
      </c>
      <c r="P19" s="9">
        <f>sunrise(Location!$B$4,Location!$B$5,Location!$B$6,1,A19,Location!$B$7,0)</f>
        <v>0.3028001122586949</v>
      </c>
      <c r="Q19" s="9">
        <f>sunset(Location!$B$4,Location!$B$5,Location!$B$6,1,A19,Location!$B$7,0)</f>
        <v>0.740093721771659</v>
      </c>
      <c r="R19" s="9">
        <f t="shared" si="8"/>
        <v>0.4372936095129641</v>
      </c>
      <c r="S19" s="10">
        <f t="shared" si="9"/>
        <v>0.03644113412608034</v>
      </c>
      <c r="T19" s="9">
        <f t="shared" si="10"/>
        <v>23.562706390487037</v>
      </c>
      <c r="U19" s="10">
        <f t="shared" si="11"/>
        <v>0.04689219920725299</v>
      </c>
    </row>
    <row r="20" spans="1:21" ht="12.75">
      <c r="A20" s="5">
        <v>18</v>
      </c>
      <c r="B20" s="51" t="str">
        <f t="shared" si="13"/>
        <v>Monday</v>
      </c>
      <c r="C20" s="59"/>
      <c r="D20" s="7"/>
      <c r="E20" s="8" t="s">
        <v>26</v>
      </c>
      <c r="F20" s="6" t="s">
        <v>56</v>
      </c>
      <c r="G20" s="85"/>
      <c r="H20" s="9">
        <f t="shared" si="0"/>
        <v>12.021671981766891</v>
      </c>
      <c r="I20" s="9">
        <f t="shared" si="1"/>
        <v>6.162164896702333</v>
      </c>
      <c r="J20" s="9">
        <f t="shared" si="2"/>
        <v>0.30265781163777394</v>
      </c>
      <c r="K20" s="9">
        <f t="shared" si="3"/>
        <v>0.41216489670233264</v>
      </c>
      <c r="L20" s="9">
        <f t="shared" si="4"/>
        <v>0.5216719817668913</v>
      </c>
      <c r="M20" s="9">
        <f t="shared" si="5"/>
        <v>0.63117906683145</v>
      </c>
      <c r="N20" s="9">
        <f t="shared" si="6"/>
        <v>0.7406861518960086</v>
      </c>
      <c r="O20" s="9">
        <f t="shared" si="7"/>
        <v>0.88117906683145</v>
      </c>
      <c r="P20" s="9">
        <f>sunrise(Location!$B$4,Location!$B$5,Location!$B$6,1,A20,Location!$B$7,0)</f>
        <v>0.30265781163777394</v>
      </c>
      <c r="Q20" s="9">
        <f>sunset(Location!$B$4,Location!$B$5,Location!$B$6,1,A20,Location!$B$7,0)</f>
        <v>0.7406861518960086</v>
      </c>
      <c r="R20" s="9">
        <f t="shared" si="8"/>
        <v>0.43802834025823467</v>
      </c>
      <c r="S20" s="10">
        <f t="shared" si="9"/>
        <v>0.03650236168818622</v>
      </c>
      <c r="T20" s="9">
        <f t="shared" si="10"/>
        <v>23.561971659741765</v>
      </c>
      <c r="U20" s="10">
        <f t="shared" si="11"/>
        <v>0.04683097164514711</v>
      </c>
    </row>
    <row r="21" spans="1:21" ht="12.75">
      <c r="A21" s="5">
        <v>19</v>
      </c>
      <c r="B21" s="51" t="str">
        <f t="shared" si="13"/>
        <v>Tuesday</v>
      </c>
      <c r="C21" s="59"/>
      <c r="D21" s="95" t="s">
        <v>40</v>
      </c>
      <c r="E21" s="8" t="s">
        <v>29</v>
      </c>
      <c r="F21" s="6" t="s">
        <v>57</v>
      </c>
      <c r="G21" s="50" t="s">
        <v>58</v>
      </c>
      <c r="H21" s="9">
        <f t="shared" si="0"/>
        <v>12.021888650073377</v>
      </c>
      <c r="I21" s="9">
        <f t="shared" si="1"/>
        <v>6.1621926460613805</v>
      </c>
      <c r="J21" s="9">
        <f t="shared" si="2"/>
        <v>0.30249664204938415</v>
      </c>
      <c r="K21" s="9">
        <f t="shared" si="3"/>
        <v>0.41219264606138084</v>
      </c>
      <c r="L21" s="9">
        <f t="shared" si="4"/>
        <v>0.5218886500733775</v>
      </c>
      <c r="M21" s="9">
        <f t="shared" si="5"/>
        <v>0.6315846540853741</v>
      </c>
      <c r="N21" s="9">
        <f t="shared" si="6"/>
        <v>0.7412806580973708</v>
      </c>
      <c r="O21" s="9">
        <f t="shared" si="7"/>
        <v>0.8815846540853741</v>
      </c>
      <c r="P21" s="9">
        <f>sunrise(Location!$B$4,Location!$B$5,Location!$B$6,1,A21,Location!$B$7,0)</f>
        <v>0.30249664204938415</v>
      </c>
      <c r="Q21" s="9">
        <f>sunset(Location!$B$4,Location!$B$5,Location!$B$6,1,A21,Location!$B$7,0)</f>
        <v>0.7412806580973708</v>
      </c>
      <c r="R21" s="9">
        <f t="shared" si="8"/>
        <v>0.4387840160479866</v>
      </c>
      <c r="S21" s="10">
        <f t="shared" si="9"/>
        <v>0.03656533467066555</v>
      </c>
      <c r="T21" s="9">
        <f t="shared" si="10"/>
        <v>23.561215983952014</v>
      </c>
      <c r="U21" s="10">
        <f t="shared" si="11"/>
        <v>0.04676799866266778</v>
      </c>
    </row>
    <row r="22" spans="1:21" ht="12.75">
      <c r="A22" s="5">
        <v>20</v>
      </c>
      <c r="B22" s="51" t="str">
        <f t="shared" si="13"/>
        <v>Wednesday</v>
      </c>
      <c r="C22" s="59"/>
      <c r="D22" s="95" t="s">
        <v>42</v>
      </c>
      <c r="E22" s="8" t="s">
        <v>32</v>
      </c>
      <c r="F22" s="6" t="s">
        <v>60</v>
      </c>
      <c r="G22" s="83"/>
      <c r="H22" s="9">
        <f t="shared" si="0"/>
        <v>12.02209675318151</v>
      </c>
      <c r="I22" s="9">
        <f t="shared" si="1"/>
        <v>6.162206723125026</v>
      </c>
      <c r="J22" s="9">
        <f t="shared" si="2"/>
        <v>0.30231669306854286</v>
      </c>
      <c r="K22" s="9">
        <f t="shared" si="3"/>
        <v>0.41220672312502693</v>
      </c>
      <c r="L22" s="9">
        <f t="shared" si="4"/>
        <v>0.5220967531815109</v>
      </c>
      <c r="M22" s="9">
        <f t="shared" si="5"/>
        <v>0.6319867832379951</v>
      </c>
      <c r="N22" s="9">
        <f t="shared" si="6"/>
        <v>0.7418768132944791</v>
      </c>
      <c r="O22" s="9">
        <f t="shared" si="7"/>
        <v>0.8819867832379951</v>
      </c>
      <c r="P22" s="9">
        <f>sunrise(Location!$B$4,Location!$B$5,Location!$B$6,1,A22,Location!$B$7,0)</f>
        <v>0.30231669306854286</v>
      </c>
      <c r="Q22" s="9">
        <f>sunset(Location!$B$4,Location!$B$5,Location!$B$6,1,A22,Location!$B$7,0)</f>
        <v>0.7418768132944791</v>
      </c>
      <c r="R22" s="9">
        <f t="shared" si="8"/>
        <v>0.4395601202259362</v>
      </c>
      <c r="S22" s="10">
        <f t="shared" si="9"/>
        <v>0.03663001001882802</v>
      </c>
      <c r="T22" s="9">
        <f t="shared" si="10"/>
        <v>23.560439879774062</v>
      </c>
      <c r="U22" s="10">
        <f t="shared" si="11"/>
        <v>0.04670332331450531</v>
      </c>
    </row>
    <row r="23" spans="1:21" ht="12.75">
      <c r="A23" s="5">
        <v>21</v>
      </c>
      <c r="B23" s="51" t="str">
        <f t="shared" si="13"/>
        <v>Thursday</v>
      </c>
      <c r="C23" s="59"/>
      <c r="D23" s="7"/>
      <c r="E23" s="8" t="s">
        <v>36</v>
      </c>
      <c r="F23" s="6" t="s">
        <v>62</v>
      </c>
      <c r="G23" s="83"/>
      <c r="H23" s="9">
        <f t="shared" si="0"/>
        <v>12.022296135273997</v>
      </c>
      <c r="I23" s="9">
        <f t="shared" si="1"/>
        <v>6.1622071019790825</v>
      </c>
      <c r="J23" s="9">
        <f t="shared" si="2"/>
        <v>0.30211806868416746</v>
      </c>
      <c r="K23" s="9">
        <f t="shared" si="3"/>
        <v>0.4122071019790829</v>
      </c>
      <c r="L23" s="9">
        <f t="shared" si="4"/>
        <v>0.5222961352739983</v>
      </c>
      <c r="M23" s="9">
        <f t="shared" si="5"/>
        <v>0.6323851685689137</v>
      </c>
      <c r="N23" s="9">
        <f t="shared" si="6"/>
        <v>0.7424742018638291</v>
      </c>
      <c r="O23" s="9">
        <f t="shared" si="7"/>
        <v>0.8823851685689137</v>
      </c>
      <c r="P23" s="9">
        <f>sunrise(Location!$B$4,Location!$B$5,Location!$B$6,1,A23,Location!$B$7,0)</f>
        <v>0.30211806868416746</v>
      </c>
      <c r="Q23" s="9">
        <f>sunset(Location!$B$4,Location!$B$5,Location!$B$6,1,A23,Location!$B$7,0)</f>
        <v>0.7424742018638291</v>
      </c>
      <c r="R23" s="9">
        <f t="shared" si="8"/>
        <v>0.4403561331796616</v>
      </c>
      <c r="S23" s="10">
        <f t="shared" si="9"/>
        <v>0.03669634443163847</v>
      </c>
      <c r="T23" s="9">
        <f t="shared" si="10"/>
        <v>23.559643866820338</v>
      </c>
      <c r="U23" s="10">
        <f t="shared" si="11"/>
        <v>0.04663698890169486</v>
      </c>
    </row>
    <row r="24" spans="1:21" ht="12.75">
      <c r="A24" s="5">
        <v>22</v>
      </c>
      <c r="B24" s="51" t="str">
        <f aca="true" t="shared" si="14" ref="B24:B30">B3</f>
        <v>Friday</v>
      </c>
      <c r="C24" s="59"/>
      <c r="D24" s="95" t="s">
        <v>45</v>
      </c>
      <c r="E24" s="8" t="s">
        <v>17</v>
      </c>
      <c r="F24" s="6" t="s">
        <v>63</v>
      </c>
      <c r="G24" s="130"/>
      <c r="H24" s="9">
        <f t="shared" si="0"/>
        <v>12.022486653558978</v>
      </c>
      <c r="I24" s="9">
        <f t="shared" si="1"/>
        <v>6.16219377021591</v>
      </c>
      <c r="J24" s="9">
        <f t="shared" si="2"/>
        <v>0.3019008868728412</v>
      </c>
      <c r="K24" s="9">
        <f t="shared" si="3"/>
        <v>0.4121937702159102</v>
      </c>
      <c r="L24" s="9">
        <f t="shared" si="4"/>
        <v>0.5224866535589792</v>
      </c>
      <c r="M24" s="9">
        <f t="shared" si="5"/>
        <v>0.6327795369020481</v>
      </c>
      <c r="N24" s="9">
        <f t="shared" si="6"/>
        <v>0.7430724202451171</v>
      </c>
      <c r="O24" s="9">
        <f t="shared" si="7"/>
        <v>0.8827795369020481</v>
      </c>
      <c r="P24" s="9">
        <f>sunrise(Location!$B$4,Location!$B$5,Location!$B$6,1,A24,Location!$B$7,0)</f>
        <v>0.3019008868728412</v>
      </c>
      <c r="Q24" s="9">
        <f>sunset(Location!$B$4,Location!$B$5,Location!$B$6,1,A24,Location!$B$7,0)</f>
        <v>0.7430724202451171</v>
      </c>
      <c r="R24" s="9">
        <f t="shared" si="8"/>
        <v>0.4411715333722759</v>
      </c>
      <c r="S24" s="10">
        <f t="shared" si="9"/>
        <v>0.03676429444768966</v>
      </c>
      <c r="T24" s="9">
        <f t="shared" si="10"/>
        <v>23.558828466627723</v>
      </c>
      <c r="U24" s="10">
        <f t="shared" si="11"/>
        <v>0.04656903888564367</v>
      </c>
    </row>
    <row r="25" spans="1:21" ht="12.75">
      <c r="A25" s="5">
        <v>23</v>
      </c>
      <c r="B25" s="51" t="str">
        <f t="shared" si="14"/>
        <v>Saturday</v>
      </c>
      <c r="C25" s="59"/>
      <c r="D25" s="7"/>
      <c r="E25" s="8" t="s">
        <v>21</v>
      </c>
      <c r="F25" s="6" t="s">
        <v>65</v>
      </c>
      <c r="G25" s="130"/>
      <c r="H25" s="9">
        <f t="shared" si="0"/>
        <v>12.022668178331338</v>
      </c>
      <c r="I25" s="9">
        <f t="shared" si="1"/>
        <v>6.162166728747682</v>
      </c>
      <c r="J25" s="9">
        <f t="shared" si="2"/>
        <v>0.3016652791640248</v>
      </c>
      <c r="K25" s="9">
        <f t="shared" si="3"/>
        <v>0.4121667287476817</v>
      </c>
      <c r="L25" s="9">
        <f t="shared" si="4"/>
        <v>0.5226681783313385</v>
      </c>
      <c r="M25" s="9">
        <f t="shared" si="5"/>
        <v>0.6331696279149953</v>
      </c>
      <c r="N25" s="9">
        <f t="shared" si="6"/>
        <v>0.7436710774986521</v>
      </c>
      <c r="O25" s="9">
        <f t="shared" si="7"/>
        <v>0.8831696279149953</v>
      </c>
      <c r="P25" s="9">
        <f>sunrise(Location!$B$4,Location!$B$5,Location!$B$6,1,A25,Location!$B$7,0)</f>
        <v>0.3016652791640248</v>
      </c>
      <c r="Q25" s="9">
        <f>sunset(Location!$B$4,Location!$B$5,Location!$B$6,1,A25,Location!$B$7,0)</f>
        <v>0.7436710774986521</v>
      </c>
      <c r="R25" s="9">
        <f t="shared" si="8"/>
        <v>0.44200579833462733</v>
      </c>
      <c r="S25" s="10">
        <f t="shared" si="9"/>
        <v>0.03683381652788561</v>
      </c>
      <c r="T25" s="9">
        <f t="shared" si="10"/>
        <v>23.557994201665373</v>
      </c>
      <c r="U25" s="10">
        <f t="shared" si="11"/>
        <v>0.04649951680544772</v>
      </c>
    </row>
    <row r="26" spans="1:21" ht="12.75">
      <c r="A26" s="5">
        <v>24</v>
      </c>
      <c r="B26" s="51" t="str">
        <f t="shared" si="14"/>
        <v>Sunday</v>
      </c>
      <c r="C26" s="59"/>
      <c r="D26" s="95" t="s">
        <v>48</v>
      </c>
      <c r="E26" s="8" t="s">
        <v>24</v>
      </c>
      <c r="F26" s="6" t="s">
        <v>66</v>
      </c>
      <c r="G26" s="134" t="s">
        <v>267</v>
      </c>
      <c r="H26" s="9">
        <f t="shared" si="0"/>
        <v>12.022840593006842</v>
      </c>
      <c r="I26" s="9">
        <f t="shared" si="1"/>
        <v>6.1621259916023865</v>
      </c>
      <c r="J26" s="9">
        <f t="shared" si="2"/>
        <v>0.30141139019793145</v>
      </c>
      <c r="K26" s="9">
        <f t="shared" si="3"/>
        <v>0.41212599160238694</v>
      </c>
      <c r="L26" s="9">
        <f t="shared" si="4"/>
        <v>0.5228405930068425</v>
      </c>
      <c r="M26" s="9">
        <f t="shared" si="5"/>
        <v>0.633555194411298</v>
      </c>
      <c r="N26" s="9">
        <f t="shared" si="6"/>
        <v>0.7442697958157535</v>
      </c>
      <c r="O26" s="9">
        <f t="shared" si="7"/>
        <v>0.8835551944112979</v>
      </c>
      <c r="P26" s="9">
        <f>sunrise(Location!$B$4,Location!$B$5,Location!$B$6,1,A26,Location!$B$7,0)</f>
        <v>0.30141139019793145</v>
      </c>
      <c r="Q26" s="9">
        <f>sunset(Location!$B$4,Location!$B$5,Location!$B$6,1,A26,Location!$B$7,0)</f>
        <v>0.7442697958157535</v>
      </c>
      <c r="R26" s="9">
        <f t="shared" si="8"/>
        <v>0.442858405617822</v>
      </c>
      <c r="S26" s="10">
        <f t="shared" si="9"/>
        <v>0.036904867134818505</v>
      </c>
      <c r="T26" s="9">
        <f t="shared" si="10"/>
        <v>23.557141594382177</v>
      </c>
      <c r="U26" s="10">
        <f t="shared" si="11"/>
        <v>0.046428466198514824</v>
      </c>
    </row>
    <row r="27" spans="1:21" ht="12.75">
      <c r="A27" s="5">
        <v>25</v>
      </c>
      <c r="B27" s="51" t="str">
        <f t="shared" si="14"/>
        <v>Monday</v>
      </c>
      <c r="C27" s="59"/>
      <c r="D27" s="95" t="s">
        <v>50</v>
      </c>
      <c r="E27" s="8" t="s">
        <v>26</v>
      </c>
      <c r="F27" s="6" t="s">
        <v>68</v>
      </c>
      <c r="G27" s="45" t="s">
        <v>234</v>
      </c>
      <c r="H27" s="9">
        <f t="shared" si="0"/>
        <v>12.02300379412797</v>
      </c>
      <c r="I27" s="9">
        <f t="shared" si="1"/>
        <v>6.16207158570287</v>
      </c>
      <c r="J27" s="9">
        <f t="shared" si="2"/>
        <v>0.3011393772777708</v>
      </c>
      <c r="K27" s="9">
        <f t="shared" si="3"/>
        <v>0.4120715857028697</v>
      </c>
      <c r="L27" s="9">
        <f t="shared" si="4"/>
        <v>0.5230037941279687</v>
      </c>
      <c r="M27" s="9">
        <f t="shared" si="5"/>
        <v>0.6339360025530677</v>
      </c>
      <c r="N27" s="9">
        <f t="shared" si="6"/>
        <v>0.7448682109781667</v>
      </c>
      <c r="O27" s="9">
        <f t="shared" si="7"/>
        <v>0.8839360025530677</v>
      </c>
      <c r="P27" s="9">
        <f>sunrise(Location!$B$4,Location!$B$5,Location!$B$6,1,A27,Location!$B$7,0)</f>
        <v>0.3011393772777708</v>
      </c>
      <c r="Q27" s="9">
        <f>sunset(Location!$B$4,Location!$B$5,Location!$B$6,1,A27,Location!$B$7,0)</f>
        <v>0.7448682109781667</v>
      </c>
      <c r="R27" s="9">
        <f t="shared" si="8"/>
        <v>0.4437288337003959</v>
      </c>
      <c r="S27" s="10">
        <f t="shared" si="9"/>
        <v>0.036977402808366325</v>
      </c>
      <c r="T27" s="9">
        <f t="shared" si="10"/>
        <v>23.556271166299606</v>
      </c>
      <c r="U27" s="10">
        <f t="shared" si="11"/>
        <v>0.046355930524967004</v>
      </c>
    </row>
    <row r="28" spans="1:21" ht="12.75">
      <c r="A28" s="5">
        <v>26</v>
      </c>
      <c r="B28" s="51" t="str">
        <f t="shared" si="14"/>
        <v>Tuesday</v>
      </c>
      <c r="C28" s="59"/>
      <c r="D28" s="7"/>
      <c r="E28" s="8" t="s">
        <v>29</v>
      </c>
      <c r="F28" s="6" t="s">
        <v>70</v>
      </c>
      <c r="G28" s="86" t="s">
        <v>183</v>
      </c>
      <c r="H28" s="9">
        <f t="shared" si="0"/>
        <v>12.02315769134488</v>
      </c>
      <c r="I28" s="9">
        <f t="shared" si="1"/>
        <v>6.162003550631619</v>
      </c>
      <c r="J28" s="9">
        <f t="shared" si="2"/>
        <v>0.3008494099183577</v>
      </c>
      <c r="K28" s="9">
        <f t="shared" si="3"/>
        <v>0.41200355063161886</v>
      </c>
      <c r="L28" s="9">
        <f t="shared" si="4"/>
        <v>0.5231576913448801</v>
      </c>
      <c r="M28" s="9">
        <f t="shared" si="5"/>
        <v>0.6343118320581413</v>
      </c>
      <c r="N28" s="9">
        <f t="shared" si="6"/>
        <v>0.7454659727714025</v>
      </c>
      <c r="O28" s="9">
        <f t="shared" si="7"/>
        <v>0.8843118320581412</v>
      </c>
      <c r="P28" s="9">
        <f>sunrise(Location!$B$4,Location!$B$5,Location!$B$6,1,A28,Location!$B$7,0)</f>
        <v>0.3008494099183577</v>
      </c>
      <c r="Q28" s="9">
        <f>sunset(Location!$B$4,Location!$B$5,Location!$B$6,1,A28,Location!$B$7,0)</f>
        <v>0.7454659727714025</v>
      </c>
      <c r="R28" s="9">
        <f t="shared" si="8"/>
        <v>0.4446165628530448</v>
      </c>
      <c r="S28" s="10">
        <f t="shared" si="9"/>
        <v>0.037051380237753735</v>
      </c>
      <c r="T28" s="9">
        <f t="shared" si="10"/>
        <v>23.555383437146954</v>
      </c>
      <c r="U28" s="10">
        <f t="shared" si="11"/>
        <v>0.046281953095579594</v>
      </c>
    </row>
    <row r="29" spans="1:21" ht="12.75">
      <c r="A29" s="5">
        <v>27</v>
      </c>
      <c r="B29" s="51" t="str">
        <f t="shared" si="14"/>
        <v>Wednesday</v>
      </c>
      <c r="C29" s="59"/>
      <c r="D29" s="95" t="s">
        <v>53</v>
      </c>
      <c r="E29" s="8" t="s">
        <v>32</v>
      </c>
      <c r="F29" s="6" t="s">
        <v>71</v>
      </c>
      <c r="G29" s="131"/>
      <c r="H29" s="9">
        <f t="shared" si="0"/>
        <v>12.023302207368541</v>
      </c>
      <c r="I29" s="9">
        <f t="shared" si="1"/>
        <v>6.1619219383797965</v>
      </c>
      <c r="J29" s="9">
        <f t="shared" si="2"/>
        <v>0.3005416693910513</v>
      </c>
      <c r="K29" s="9">
        <f t="shared" si="3"/>
        <v>0.41192193837979674</v>
      </c>
      <c r="L29" s="9">
        <f t="shared" si="4"/>
        <v>0.5233022073685422</v>
      </c>
      <c r="M29" s="9">
        <f t="shared" si="5"/>
        <v>0.6346824763572876</v>
      </c>
      <c r="N29" s="9">
        <f t="shared" si="6"/>
        <v>0.746062745346033</v>
      </c>
      <c r="O29" s="9">
        <f t="shared" si="7"/>
        <v>0.8846824763572876</v>
      </c>
      <c r="P29" s="9">
        <f>sunrise(Location!$B$4,Location!$B$5,Location!$B$6,1,A29,Location!$B$7,0)</f>
        <v>0.3005416693910513</v>
      </c>
      <c r="Q29" s="9">
        <f>sunset(Location!$B$4,Location!$B$5,Location!$B$6,1,A29,Location!$B$7,0)</f>
        <v>0.746062745346033</v>
      </c>
      <c r="R29" s="9">
        <f t="shared" si="8"/>
        <v>0.4455210759549817</v>
      </c>
      <c r="S29" s="10">
        <f t="shared" si="9"/>
        <v>0.03712675632958181</v>
      </c>
      <c r="T29" s="9">
        <f t="shared" si="10"/>
        <v>23.554478924045018</v>
      </c>
      <c r="U29" s="10">
        <f t="shared" si="11"/>
        <v>0.04620657700375152</v>
      </c>
    </row>
    <row r="30" spans="1:21" ht="12.75">
      <c r="A30" s="5">
        <v>28</v>
      </c>
      <c r="B30" s="51" t="str">
        <f t="shared" si="14"/>
        <v>Thursday</v>
      </c>
      <c r="C30" s="59"/>
      <c r="D30" s="95" t="s">
        <v>55</v>
      </c>
      <c r="E30" s="8" t="s">
        <v>36</v>
      </c>
      <c r="F30" s="6" t="s">
        <v>73</v>
      </c>
      <c r="G30" s="48" t="s">
        <v>74</v>
      </c>
      <c r="H30" s="9">
        <f t="shared" si="0"/>
        <v>12.023437277899673</v>
      </c>
      <c r="I30" s="9">
        <f t="shared" si="1"/>
        <v>6.1618268130840175</v>
      </c>
      <c r="J30" s="9">
        <f t="shared" si="2"/>
        <v>0.30021634826836247</v>
      </c>
      <c r="K30" s="9">
        <f t="shared" si="3"/>
        <v>0.4118268130840176</v>
      </c>
      <c r="L30" s="9">
        <f t="shared" si="4"/>
        <v>0.5234372778996726</v>
      </c>
      <c r="M30" s="9">
        <f t="shared" si="5"/>
        <v>0.6350477427153278</v>
      </c>
      <c r="N30" s="9">
        <f t="shared" si="6"/>
        <v>0.7466582075309829</v>
      </c>
      <c r="O30" s="9">
        <f t="shared" si="7"/>
        <v>0.8850477427153278</v>
      </c>
      <c r="P30" s="9">
        <f>sunrise(Location!$B$4,Location!$B$5,Location!$B$6,1,A30,Location!$B$7,0)</f>
        <v>0.30021634826836247</v>
      </c>
      <c r="Q30" s="9">
        <f>sunset(Location!$B$4,Location!$B$5,Location!$B$6,1,A30,Location!$B$7,0)</f>
        <v>0.7466582075309829</v>
      </c>
      <c r="R30" s="9">
        <f t="shared" si="8"/>
        <v>0.4464418592626204</v>
      </c>
      <c r="S30" s="10">
        <f t="shared" si="9"/>
        <v>0.037203488271885035</v>
      </c>
      <c r="T30" s="9">
        <f t="shared" si="10"/>
        <v>23.55355814073738</v>
      </c>
      <c r="U30" s="10">
        <f t="shared" si="11"/>
        <v>0.046129845061448294</v>
      </c>
    </row>
    <row r="31" spans="1:21" ht="12.75">
      <c r="A31" s="5">
        <v>29</v>
      </c>
      <c r="B31" s="51" t="str">
        <f>B3</f>
        <v>Friday</v>
      </c>
      <c r="C31" s="59"/>
      <c r="D31" s="7"/>
      <c r="E31" s="8" t="s">
        <v>17</v>
      </c>
      <c r="F31" s="6" t="s">
        <v>76</v>
      </c>
      <c r="G31" s="132"/>
      <c r="H31" s="9">
        <f t="shared" si="0"/>
        <v>12.023562851532612</v>
      </c>
      <c r="I31" s="9">
        <f t="shared" si="1"/>
        <v>6.161718250749616</v>
      </c>
      <c r="J31" s="9">
        <f t="shared" si="2"/>
        <v>0.2998736499666215</v>
      </c>
      <c r="K31" s="9">
        <f t="shared" si="3"/>
        <v>0.4117182507496169</v>
      </c>
      <c r="L31" s="9">
        <f t="shared" si="4"/>
        <v>0.5235628515326123</v>
      </c>
      <c r="M31" s="9">
        <f t="shared" si="5"/>
        <v>0.6354074523156077</v>
      </c>
      <c r="N31" s="9">
        <f t="shared" si="6"/>
        <v>0.7472520530986031</v>
      </c>
      <c r="O31" s="9">
        <f t="shared" si="7"/>
        <v>0.8854074523156077</v>
      </c>
      <c r="P31" s="9">
        <f>sunrise(Location!$B$4,Location!$B$5,Location!$B$6,1,A31,Location!$B$7,0)</f>
        <v>0.2998736499666215</v>
      </c>
      <c r="Q31" s="9">
        <f>sunset(Location!$B$4,Location!$B$5,Location!$B$6,1,A31,Location!$B$7,0)</f>
        <v>0.7472520530986031</v>
      </c>
      <c r="R31" s="9">
        <f t="shared" si="8"/>
        <v>0.4473784031319816</v>
      </c>
      <c r="S31" s="10">
        <f t="shared" si="9"/>
        <v>0.0372815335943318</v>
      </c>
      <c r="T31" s="9">
        <f t="shared" si="10"/>
        <v>23.55262159686802</v>
      </c>
      <c r="U31" s="10">
        <f t="shared" si="11"/>
        <v>0.04605179973900153</v>
      </c>
    </row>
    <row r="32" spans="1:21" ht="12.75">
      <c r="A32" s="5">
        <v>30</v>
      </c>
      <c r="B32" s="51" t="str">
        <f>B4</f>
        <v>Saturday</v>
      </c>
      <c r="C32" s="59"/>
      <c r="D32" s="95" t="s">
        <v>59</v>
      </c>
      <c r="E32" s="8" t="s">
        <v>21</v>
      </c>
      <c r="F32" s="6" t="s">
        <v>77</v>
      </c>
      <c r="G32" s="130"/>
      <c r="H32" s="9">
        <f t="shared" si="0"/>
        <v>12.023678889635566</v>
      </c>
      <c r="I32" s="9">
        <f t="shared" si="1"/>
        <v>6.161596338963252</v>
      </c>
      <c r="J32" s="9">
        <f t="shared" si="2"/>
        <v>0.2995137882909389</v>
      </c>
      <c r="K32" s="9">
        <f t="shared" si="3"/>
        <v>0.41159633896325254</v>
      </c>
      <c r="L32" s="9">
        <f t="shared" si="4"/>
        <v>0.5236788896355662</v>
      </c>
      <c r="M32" s="9">
        <f t="shared" si="5"/>
        <v>0.63576144030788</v>
      </c>
      <c r="N32" s="9">
        <f t="shared" si="6"/>
        <v>0.7478439909801936</v>
      </c>
      <c r="O32" s="9">
        <f t="shared" si="7"/>
        <v>0.88576144030788</v>
      </c>
      <c r="P32" s="9">
        <f>sunrise(Location!$B$4,Location!$B$5,Location!$B$6,1,A32,Location!$B$7,0)</f>
        <v>0.2995137882909389</v>
      </c>
      <c r="Q32" s="9">
        <f>sunset(Location!$B$4,Location!$B$5,Location!$B$6,1,A32,Location!$B$7,0)</f>
        <v>0.7478439909801936</v>
      </c>
      <c r="R32" s="9">
        <f t="shared" si="8"/>
        <v>0.4483302026892547</v>
      </c>
      <c r="S32" s="10">
        <f t="shared" si="9"/>
        <v>0.03736085022410456</v>
      </c>
      <c r="T32" s="9">
        <f t="shared" si="10"/>
        <v>23.551669797310744</v>
      </c>
      <c r="U32" s="10">
        <f t="shared" si="11"/>
        <v>0.045972483109228766</v>
      </c>
    </row>
    <row r="33" spans="1:21" ht="12.75">
      <c r="A33" s="5">
        <v>31</v>
      </c>
      <c r="B33" s="51" t="str">
        <f>B5</f>
        <v>Sunday</v>
      </c>
      <c r="C33" s="59"/>
      <c r="D33" s="96" t="s">
        <v>61</v>
      </c>
      <c r="E33" s="8" t="s">
        <v>24</v>
      </c>
      <c r="F33" s="6" t="s">
        <v>78</v>
      </c>
      <c r="G33" s="134" t="s">
        <v>268</v>
      </c>
      <c r="H33" s="9">
        <f t="shared" si="0"/>
        <v>12.023785366207761</v>
      </c>
      <c r="I33" s="9">
        <f t="shared" si="1"/>
        <v>6.1614611765942895</v>
      </c>
      <c r="J33" s="9">
        <f t="shared" si="2"/>
        <v>0.2991369869808185</v>
      </c>
      <c r="K33" s="9">
        <f t="shared" si="3"/>
        <v>0.41146117659428955</v>
      </c>
      <c r="L33" s="9">
        <f t="shared" si="4"/>
        <v>0.5237853662077606</v>
      </c>
      <c r="M33" s="9">
        <f t="shared" si="5"/>
        <v>0.6361095558212317</v>
      </c>
      <c r="N33" s="9">
        <f t="shared" si="6"/>
        <v>0.7484337454347028</v>
      </c>
      <c r="O33" s="9">
        <f t="shared" si="7"/>
        <v>0.8861095558212317</v>
      </c>
      <c r="P33" s="9">
        <f>sunrise(Location!$B$4,Location!$B$5,Location!$B$6,1,A33,Location!$B$7,0)</f>
        <v>0.2991369869808185</v>
      </c>
      <c r="Q33" s="9">
        <f>sunset(Location!$B$4,Location!$B$5,Location!$B$6,1,A33,Location!$B$7,0)</f>
        <v>0.7484337454347028</v>
      </c>
      <c r="R33" s="9">
        <f t="shared" si="8"/>
        <v>0.4492967584538843</v>
      </c>
      <c r="S33" s="10">
        <f t="shared" si="9"/>
        <v>0.03744139653782369</v>
      </c>
      <c r="T33" s="9">
        <f t="shared" si="10"/>
        <v>23.550703241546117</v>
      </c>
      <c r="U33" s="10">
        <f t="shared" si="11"/>
        <v>0.04589193679550964</v>
      </c>
    </row>
    <row r="34" spans="1:21" ht="12.75">
      <c r="A34" s="6"/>
      <c r="B34" s="6"/>
      <c r="C34" s="6"/>
      <c r="D34" s="6"/>
      <c r="E34" s="13"/>
      <c r="F34" s="6"/>
      <c r="G34" s="12"/>
      <c r="H34" s="9"/>
      <c r="I34" s="9"/>
      <c r="J34" s="9"/>
      <c r="K34" s="9"/>
      <c r="L34" s="9"/>
      <c r="M34" s="9"/>
      <c r="N34" s="9"/>
      <c r="O34" s="9"/>
      <c r="P34" s="9"/>
      <c r="Q34" s="9"/>
      <c r="R34" s="9"/>
      <c r="S34" s="10"/>
      <c r="T34" s="9"/>
      <c r="U34" s="10"/>
    </row>
    <row r="35" spans="1:21" ht="12.75">
      <c r="A35" s="6"/>
      <c r="C35" s="6"/>
      <c r="D35" s="6"/>
      <c r="E35" s="13"/>
      <c r="F35" s="6"/>
      <c r="G35" s="12"/>
      <c r="H35" s="9"/>
      <c r="I35" s="9"/>
      <c r="J35" s="9"/>
      <c r="K35" s="9"/>
      <c r="L35" s="9"/>
      <c r="M35" s="9"/>
      <c r="N35" s="9"/>
      <c r="O35" s="9"/>
      <c r="P35" s="9"/>
      <c r="Q35" s="9"/>
      <c r="R35" s="9"/>
      <c r="S35" s="10"/>
      <c r="T35" s="9"/>
      <c r="U35" s="10"/>
    </row>
    <row r="36" spans="1:21" ht="12.75">
      <c r="A36" s="6"/>
      <c r="B36" s="6"/>
      <c r="C36" s="6"/>
      <c r="D36" s="52"/>
      <c r="E36" s="13"/>
      <c r="F36" s="6"/>
      <c r="G36" s="14"/>
      <c r="H36" s="9"/>
      <c r="I36" s="9"/>
      <c r="J36" s="9"/>
      <c r="K36" s="9"/>
      <c r="L36" s="9"/>
      <c r="M36" s="9"/>
      <c r="N36" s="9"/>
      <c r="O36" s="9"/>
      <c r="P36" s="9"/>
      <c r="Q36" s="9"/>
      <c r="R36" s="9"/>
      <c r="S36" s="10"/>
      <c r="T36" s="9"/>
      <c r="U36" s="10"/>
    </row>
    <row r="37" spans="1:21" ht="12.75">
      <c r="A37" s="6"/>
      <c r="B37" s="6"/>
      <c r="C37" s="58" t="str">
        <f>Location!C13</f>
        <v>C</v>
      </c>
      <c r="D37" s="6"/>
      <c r="E37" s="11"/>
      <c r="F37" s="6"/>
      <c r="G37" s="14"/>
      <c r="H37" s="9"/>
      <c r="I37" s="9"/>
      <c r="J37" s="9"/>
      <c r="K37" s="9"/>
      <c r="L37" s="9"/>
      <c r="M37" s="9"/>
      <c r="N37" s="9"/>
      <c r="O37" s="9"/>
      <c r="P37" s="9"/>
      <c r="Q37" s="9"/>
      <c r="R37" s="9"/>
      <c r="S37" s="10"/>
      <c r="T37" s="9"/>
      <c r="U37" s="10"/>
    </row>
    <row r="38" spans="1:21" ht="12.75">
      <c r="A38" s="6"/>
      <c r="B38" s="6"/>
      <c r="C38" s="6"/>
      <c r="D38" s="6"/>
      <c r="F38" s="6"/>
      <c r="G38" s="14"/>
      <c r="H38" s="9"/>
      <c r="I38" s="9"/>
      <c r="J38" s="9"/>
      <c r="K38" s="9"/>
      <c r="L38" s="9"/>
      <c r="M38" s="9"/>
      <c r="N38" s="9"/>
      <c r="O38" s="9"/>
      <c r="P38" s="9"/>
      <c r="Q38" s="9"/>
      <c r="R38" s="9"/>
      <c r="S38" s="10"/>
      <c r="T38" s="9"/>
      <c r="U38" s="10"/>
    </row>
    <row r="39" spans="1:21" ht="12.75">
      <c r="A39" s="6"/>
      <c r="B39" s="6"/>
      <c r="C39" s="6"/>
      <c r="D39" s="6"/>
      <c r="F39" s="6"/>
      <c r="G39" s="14"/>
      <c r="H39" s="9"/>
      <c r="I39" s="9"/>
      <c r="J39" s="9"/>
      <c r="K39" s="9"/>
      <c r="L39" s="9"/>
      <c r="M39" s="9"/>
      <c r="N39" s="9"/>
      <c r="O39" s="9"/>
      <c r="P39" s="9"/>
      <c r="Q39" s="9"/>
      <c r="R39" s="9"/>
      <c r="S39" s="10"/>
      <c r="T39" s="9"/>
      <c r="U39" s="10"/>
    </row>
    <row r="40" spans="1:21" ht="12.75">
      <c r="A40" s="6"/>
      <c r="B40" s="6"/>
      <c r="C40" s="6"/>
      <c r="F40" s="6"/>
      <c r="G40" s="14"/>
      <c r="H40" s="9"/>
      <c r="I40" s="9"/>
      <c r="J40" s="9"/>
      <c r="K40" s="9"/>
      <c r="L40" s="9"/>
      <c r="M40" s="9"/>
      <c r="N40" s="9"/>
      <c r="O40" s="9"/>
      <c r="P40" s="9"/>
      <c r="Q40" s="9"/>
      <c r="R40" s="9"/>
      <c r="S40" s="10"/>
      <c r="T40" s="9"/>
      <c r="U40" s="10"/>
    </row>
    <row r="41" ht="12.75">
      <c r="G41" s="14"/>
    </row>
    <row r="42" ht="12.75">
      <c r="G42" s="14"/>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ht="12.75">
      <c r="G66" s="2"/>
    </row>
    <row r="67" ht="12.75">
      <c r="G67" s="2"/>
    </row>
    <row r="68" ht="12.75">
      <c r="G68" s="2"/>
    </row>
    <row r="69" ht="12.75">
      <c r="G69" s="2"/>
    </row>
    <row r="70" ht="12.75">
      <c r="G70" s="2"/>
    </row>
    <row r="71" ht="12.75">
      <c r="G71" s="2"/>
    </row>
    <row r="72" ht="12.75">
      <c r="G72" s="2"/>
    </row>
    <row r="73" ht="12.75">
      <c r="G73" s="2"/>
    </row>
    <row r="74" ht="12.75">
      <c r="G74" s="2"/>
    </row>
    <row r="75" ht="12.75">
      <c r="G75" s="2"/>
    </row>
    <row r="76" ht="12.75">
      <c r="G76" s="2"/>
    </row>
    <row r="77" ht="12.75">
      <c r="G77" s="2"/>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ht="12.75">
      <c r="G109" s="2"/>
    </row>
    <row r="110" ht="12.75">
      <c r="G110" s="2"/>
    </row>
    <row r="111" ht="12.75">
      <c r="G111" s="2"/>
    </row>
    <row r="112" ht="12.75">
      <c r="G112" s="2"/>
    </row>
    <row r="113" ht="12.75">
      <c r="G113" s="2"/>
    </row>
    <row r="114" ht="12.75">
      <c r="G114" s="2"/>
    </row>
    <row r="115" ht="12.75">
      <c r="G115" s="2"/>
    </row>
    <row r="116" ht="12.75">
      <c r="G116" s="2"/>
    </row>
    <row r="117" ht="12.75">
      <c r="G117" s="2"/>
    </row>
    <row r="118" ht="12.75">
      <c r="G118" s="2"/>
    </row>
    <row r="119" ht="12.75">
      <c r="G119" s="2"/>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ht="12.75">
      <c r="G148" s="2"/>
    </row>
    <row r="149" ht="12.75">
      <c r="G149" s="2"/>
    </row>
    <row r="150" ht="12.75">
      <c r="G150" s="2"/>
    </row>
    <row r="151" ht="12.75">
      <c r="G151" s="2"/>
    </row>
    <row r="152" ht="12.75">
      <c r="G152" s="2"/>
    </row>
    <row r="153" ht="12.75">
      <c r="G153" s="2"/>
    </row>
    <row r="154" ht="12.75">
      <c r="G154" s="2"/>
    </row>
    <row r="155" ht="12.75">
      <c r="G155" s="2"/>
    </row>
    <row r="156" ht="12.75">
      <c r="G156" s="2"/>
    </row>
    <row r="157" ht="12.75">
      <c r="G157" s="2"/>
    </row>
    <row r="158" ht="12.75">
      <c r="G158" s="2"/>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ht="12.75">
      <c r="G188" s="2"/>
    </row>
    <row r="189" ht="12.75">
      <c r="G189" s="2"/>
    </row>
    <row r="190" ht="12.75">
      <c r="G190" s="2"/>
    </row>
    <row r="191" ht="12.75">
      <c r="G191" s="2"/>
    </row>
    <row r="192" ht="12.75">
      <c r="G192" s="2"/>
    </row>
    <row r="193" ht="12.75">
      <c r="G193" s="2"/>
    </row>
    <row r="194" ht="12.75">
      <c r="G194" s="2"/>
    </row>
    <row r="195" ht="12.75">
      <c r="G195" s="2"/>
    </row>
  </sheetData>
  <sheetProtection/>
  <conditionalFormatting sqref="E3:E33">
    <cfRule type="cellIs" priority="1" dxfId="1" operator="equal" stopIfTrue="1">
      <formula>$C$37</formula>
    </cfRule>
  </conditionalFormatting>
  <printOptions gridLines="1" horizontalCentered="1" verticalCentered="1"/>
  <pageMargins left="0.4" right="0.27" top="1.01" bottom="1.75" header="0.5" footer="0.5"/>
  <pageSetup fitToHeight="1" fitToWidth="1" horizontalDpi="600" verticalDpi="600" orientation="landscape" pageOrder="overThenDown" scale="74" r:id="rId2"/>
  <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U37"/>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172</v>
      </c>
      <c r="B1" s="122"/>
      <c r="C1" s="122"/>
      <c r="D1" s="127"/>
      <c r="E1" s="123" t="str">
        <f>ROMAN(Location!$B$6)</f>
        <v>MMX</v>
      </c>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8" t="s">
        <v>10</v>
      </c>
      <c r="P2" s="27" t="s">
        <v>11</v>
      </c>
      <c r="Q2" s="27" t="s">
        <v>12</v>
      </c>
      <c r="R2" s="27" t="s">
        <v>13</v>
      </c>
      <c r="S2" s="27" t="s">
        <v>131</v>
      </c>
      <c r="T2" s="27" t="s">
        <v>15</v>
      </c>
      <c r="U2" s="27" t="s">
        <v>132</v>
      </c>
    </row>
    <row r="3" spans="1:21" ht="12.75">
      <c r="A3" s="5">
        <v>1</v>
      </c>
      <c r="B3" s="6" t="str">
        <f>September!B26</f>
        <v>Friday</v>
      </c>
      <c r="C3" s="59"/>
      <c r="D3" s="95" t="s">
        <v>75</v>
      </c>
      <c r="E3" s="8" t="s">
        <v>17</v>
      </c>
      <c r="F3" s="6" t="s">
        <v>18</v>
      </c>
      <c r="G3" s="130"/>
      <c r="H3" s="9">
        <f aca="true" t="shared" si="0" ref="H3:H33">(T3/2)+Q3-"12:00:00"</f>
        <v>12.04861166367869</v>
      </c>
      <c r="I3" s="9">
        <f aca="true" t="shared" si="1" ref="I3:I33">H3+((J3-H3)/2)</f>
        <v>6.174954559345656</v>
      </c>
      <c r="J3" s="9">
        <f aca="true" t="shared" si="2" ref="J3:J33">P3</f>
        <v>0.30129745501262084</v>
      </c>
      <c r="K3" s="9">
        <f aca="true" t="shared" si="3" ref="K3:K33">J3+((L3-J3)/2)</f>
        <v>0.42495455934565574</v>
      </c>
      <c r="L3" s="9">
        <f aca="true" t="shared" si="4" ref="L3:L33">(R3/2)+J3</f>
        <v>0.5486116636786906</v>
      </c>
      <c r="M3" s="9">
        <f aca="true" t="shared" si="5" ref="M3:M33">((N3-L3)/2)+L3</f>
        <v>0.6722687680117255</v>
      </c>
      <c r="N3" s="9">
        <f aca="true" t="shared" si="6" ref="N3:N33">Q3</f>
        <v>0.7959258723447604</v>
      </c>
      <c r="O3" s="9">
        <f aca="true" t="shared" si="7" ref="O3:O33">3*U3+N3</f>
        <v>0.9222687680117255</v>
      </c>
      <c r="P3" s="9">
        <f>sunrise(Location!$B$4,Location!$B$5,Location!$B$6,10,A3,Location!$B$7,IF(Location!$B$8="No",0,1))</f>
        <v>0.30129745501262084</v>
      </c>
      <c r="Q3" s="9">
        <f>sunset(Location!$B$4,Location!$B$5,Location!$B$6,10,A3,Location!$B$7,IF(Location!$B$8="No",0,1))</f>
        <v>0.7959258723447604</v>
      </c>
      <c r="R3" s="9">
        <f aca="true" t="shared" si="8" ref="R3:R33">Q3-P3</f>
        <v>0.4946284173321396</v>
      </c>
      <c r="S3" s="10">
        <f aca="true" t="shared" si="9" ref="S3:S33">R3/12</f>
        <v>0.0412190347776783</v>
      </c>
      <c r="T3" s="9">
        <f aca="true" t="shared" si="10" ref="T3:T33">(24-(Q3-P3))</f>
        <v>23.50537158266786</v>
      </c>
      <c r="U3" s="10">
        <f aca="true" t="shared" si="11" ref="U3:U33">"1:00:00"-S3+"1:00:00"</f>
        <v>0.04211429855565503</v>
      </c>
    </row>
    <row r="4" spans="1:21" ht="12.75">
      <c r="A4" s="5">
        <v>2</v>
      </c>
      <c r="B4" s="6" t="str">
        <f>September!B27</f>
        <v>Saturday</v>
      </c>
      <c r="C4" s="59"/>
      <c r="D4" s="7"/>
      <c r="E4" s="8" t="s">
        <v>21</v>
      </c>
      <c r="F4" s="6" t="s">
        <v>90</v>
      </c>
      <c r="G4" s="130"/>
      <c r="H4" s="9">
        <f t="shared" si="0"/>
        <v>12.048389689119288</v>
      </c>
      <c r="I4" s="9">
        <f t="shared" si="1"/>
        <v>6.175037909096289</v>
      </c>
      <c r="J4" s="9">
        <f t="shared" si="2"/>
        <v>0.30168612907328873</v>
      </c>
      <c r="K4" s="9">
        <f t="shared" si="3"/>
        <v>0.4250379090962878</v>
      </c>
      <c r="L4" s="9">
        <f t="shared" si="4"/>
        <v>0.5483896891192869</v>
      </c>
      <c r="M4" s="9">
        <f t="shared" si="5"/>
        <v>0.6717414691422859</v>
      </c>
      <c r="N4" s="9">
        <f t="shared" si="6"/>
        <v>0.795093249165285</v>
      </c>
      <c r="O4" s="9">
        <f t="shared" si="7"/>
        <v>0.9217414691422859</v>
      </c>
      <c r="P4" s="9">
        <f>sunrise(Location!$B$4,Location!$B$5,Location!$B$6,10,A4,Location!$B$7,IF(Location!$B$8="No",0,1))</f>
        <v>0.30168612907328873</v>
      </c>
      <c r="Q4" s="9">
        <f>sunset(Location!$B$4,Location!$B$5,Location!$B$6,10,A4,Location!$B$7,IF(Location!$B$8="No",0,1))</f>
        <v>0.795093249165285</v>
      </c>
      <c r="R4" s="9">
        <f t="shared" si="8"/>
        <v>0.4934071200919963</v>
      </c>
      <c r="S4" s="10">
        <f t="shared" si="9"/>
        <v>0.041117260007666356</v>
      </c>
      <c r="T4" s="9">
        <f t="shared" si="10"/>
        <v>23.506592879908006</v>
      </c>
      <c r="U4" s="10">
        <f t="shared" si="11"/>
        <v>0.04221607332566697</v>
      </c>
    </row>
    <row r="5" spans="1:21" ht="12.75">
      <c r="A5" s="5">
        <v>3</v>
      </c>
      <c r="B5" s="6" t="str">
        <f>September!B28</f>
        <v>Sunday</v>
      </c>
      <c r="C5" s="59"/>
      <c r="D5" s="95" t="s">
        <v>20</v>
      </c>
      <c r="E5" s="8" t="s">
        <v>24</v>
      </c>
      <c r="F5" s="6" t="s">
        <v>92</v>
      </c>
      <c r="G5" s="134" t="s">
        <v>296</v>
      </c>
      <c r="H5" s="9">
        <f t="shared" si="0"/>
        <v>12.048171305299263</v>
      </c>
      <c r="I5" s="9">
        <f t="shared" si="1"/>
        <v>6.175124493480689</v>
      </c>
      <c r="J5" s="9">
        <f t="shared" si="2"/>
        <v>0.30207768166211324</v>
      </c>
      <c r="K5" s="9">
        <f t="shared" si="3"/>
        <v>0.42512449348068854</v>
      </c>
      <c r="L5" s="9">
        <f t="shared" si="4"/>
        <v>0.5481713052992638</v>
      </c>
      <c r="M5" s="9">
        <f t="shared" si="5"/>
        <v>0.6712181171178391</v>
      </c>
      <c r="N5" s="9">
        <f t="shared" si="6"/>
        <v>0.7942649289364144</v>
      </c>
      <c r="O5" s="9">
        <f t="shared" si="7"/>
        <v>0.9212181171178391</v>
      </c>
      <c r="P5" s="9">
        <f>sunrise(Location!$B$4,Location!$B$5,Location!$B$6,10,A5,Location!$B$7,IF(Location!$B$8="No",0,1))</f>
        <v>0.30207768166211324</v>
      </c>
      <c r="Q5" s="9">
        <f>sunset(Location!$B$4,Location!$B$5,Location!$B$6,10,A5,Location!$B$7,IF(Location!$B$8="No",0,1))</f>
        <v>0.7942649289364144</v>
      </c>
      <c r="R5" s="9">
        <f t="shared" si="8"/>
        <v>0.4921872472743012</v>
      </c>
      <c r="S5" s="10">
        <f t="shared" si="9"/>
        <v>0.0410156039395251</v>
      </c>
      <c r="T5" s="9">
        <f t="shared" si="10"/>
        <v>23.507812752725698</v>
      </c>
      <c r="U5" s="10">
        <f t="shared" si="11"/>
        <v>0.04231772939380823</v>
      </c>
    </row>
    <row r="6" spans="1:21" ht="12.75">
      <c r="A6" s="5">
        <v>4</v>
      </c>
      <c r="B6" s="6" t="str">
        <f>September!B29</f>
        <v>Monday</v>
      </c>
      <c r="C6" s="59"/>
      <c r="D6" s="7"/>
      <c r="E6" s="8" t="s">
        <v>26</v>
      </c>
      <c r="F6" s="6" t="s">
        <v>93</v>
      </c>
      <c r="G6" s="45" t="s">
        <v>226</v>
      </c>
      <c r="H6" s="9">
        <f t="shared" si="0"/>
        <v>12.047956750497699</v>
      </c>
      <c r="I6" s="9">
        <f t="shared" si="1"/>
        <v>6.175214503993031</v>
      </c>
      <c r="J6" s="9">
        <f t="shared" si="2"/>
        <v>0.30247225748836215</v>
      </c>
      <c r="K6" s="9">
        <f t="shared" si="3"/>
        <v>0.4252145039930301</v>
      </c>
      <c r="L6" s="9">
        <f t="shared" si="4"/>
        <v>0.5479567504976981</v>
      </c>
      <c r="M6" s="9">
        <f t="shared" si="5"/>
        <v>0.670698997002366</v>
      </c>
      <c r="N6" s="9">
        <f t="shared" si="6"/>
        <v>0.7934412435070339</v>
      </c>
      <c r="O6" s="9">
        <f t="shared" si="7"/>
        <v>0.920698997002366</v>
      </c>
      <c r="P6" s="9">
        <f>sunrise(Location!$B$4,Location!$B$5,Location!$B$6,10,A6,Location!$B$7,IF(Location!$B$8="No",0,1))</f>
        <v>0.30247225748836215</v>
      </c>
      <c r="Q6" s="9">
        <f>sunset(Location!$B$4,Location!$B$5,Location!$B$6,10,A6,Location!$B$7,IF(Location!$B$8="No",0,1))</f>
        <v>0.7934412435070339</v>
      </c>
      <c r="R6" s="9">
        <f t="shared" si="8"/>
        <v>0.4909689860186718</v>
      </c>
      <c r="S6" s="10">
        <f t="shared" si="9"/>
        <v>0.04091408216822265</v>
      </c>
      <c r="T6" s="9">
        <f t="shared" si="10"/>
        <v>23.50903101398133</v>
      </c>
      <c r="U6" s="10">
        <f t="shared" si="11"/>
        <v>0.04241925116511068</v>
      </c>
    </row>
    <row r="7" spans="1:21" ht="12.75">
      <c r="A7" s="5">
        <v>5</v>
      </c>
      <c r="B7" s="6" t="str">
        <f>September!B9</f>
        <v>Tuesday</v>
      </c>
      <c r="C7" s="59"/>
      <c r="D7" s="95" t="s">
        <v>23</v>
      </c>
      <c r="E7" s="8" t="s">
        <v>29</v>
      </c>
      <c r="F7" s="6" t="s">
        <v>94</v>
      </c>
      <c r="G7" s="130"/>
      <c r="H7" s="9">
        <f t="shared" si="0"/>
        <v>12.047746262572367</v>
      </c>
      <c r="I7" s="9">
        <f t="shared" si="1"/>
        <v>6.17530813076223</v>
      </c>
      <c r="J7" s="9">
        <f t="shared" si="2"/>
        <v>0.3028699989520913</v>
      </c>
      <c r="K7" s="9">
        <f t="shared" si="3"/>
        <v>0.425308130762229</v>
      </c>
      <c r="L7" s="9">
        <f t="shared" si="4"/>
        <v>0.5477462625723667</v>
      </c>
      <c r="M7" s="9">
        <f t="shared" si="5"/>
        <v>0.6701843943825043</v>
      </c>
      <c r="N7" s="9">
        <f t="shared" si="6"/>
        <v>0.7926225261926421</v>
      </c>
      <c r="O7" s="9">
        <f t="shared" si="7"/>
        <v>0.9201843943825043</v>
      </c>
      <c r="P7" s="9">
        <f>sunrise(Location!$B$4,Location!$B$5,Location!$B$6,10,A7,Location!$B$7,IF(Location!$B$8="No",0,1))</f>
        <v>0.3028699989520913</v>
      </c>
      <c r="Q7" s="9">
        <f>sunset(Location!$B$4,Location!$B$5,Location!$B$6,10,A7,Location!$B$7,IF(Location!$B$8="No",0,1))</f>
        <v>0.7926225261926421</v>
      </c>
      <c r="R7" s="9">
        <f t="shared" si="8"/>
        <v>0.48975252724055074</v>
      </c>
      <c r="S7" s="10">
        <f t="shared" si="9"/>
        <v>0.04081271060337923</v>
      </c>
      <c r="T7" s="9">
        <f t="shared" si="10"/>
        <v>23.51024747275945</v>
      </c>
      <c r="U7" s="10">
        <f t="shared" si="11"/>
        <v>0.0425206227299541</v>
      </c>
    </row>
    <row r="8" spans="1:21" ht="12.75">
      <c r="A8" s="5">
        <v>6</v>
      </c>
      <c r="B8" s="6" t="str">
        <f>September!B31</f>
        <v>Wednesday</v>
      </c>
      <c r="C8" s="59"/>
      <c r="D8" s="95" t="s">
        <v>28</v>
      </c>
      <c r="E8" s="8" t="s">
        <v>32</v>
      </c>
      <c r="F8" s="6" t="s">
        <v>27</v>
      </c>
      <c r="G8" s="130"/>
      <c r="H8" s="9">
        <f t="shared" si="0"/>
        <v>12.04754007876425</v>
      </c>
      <c r="I8" s="9">
        <f t="shared" si="1"/>
        <v>6.175405562280242</v>
      </c>
      <c r="J8" s="9">
        <f t="shared" si="2"/>
        <v>0.303271045796235</v>
      </c>
      <c r="K8" s="9">
        <f t="shared" si="3"/>
        <v>0.42540556228024307</v>
      </c>
      <c r="L8" s="9">
        <f t="shared" si="4"/>
        <v>0.5475400787642511</v>
      </c>
      <c r="M8" s="9">
        <f t="shared" si="5"/>
        <v>0.6696745952482592</v>
      </c>
      <c r="N8" s="9">
        <f t="shared" si="6"/>
        <v>0.7918091117322673</v>
      </c>
      <c r="O8" s="9">
        <f t="shared" si="7"/>
        <v>0.9196745952482592</v>
      </c>
      <c r="P8" s="9">
        <f>sunrise(Location!$B$4,Location!$B$5,Location!$B$6,10,A8,Location!$B$7,IF(Location!$B$8="No",0,1))</f>
        <v>0.303271045796235</v>
      </c>
      <c r="Q8" s="9">
        <f>sunset(Location!$B$4,Location!$B$5,Location!$B$6,10,A8,Location!$B$7,IF(Location!$B$8="No",0,1))</f>
        <v>0.7918091117322673</v>
      </c>
      <c r="R8" s="9">
        <f t="shared" si="8"/>
        <v>0.48853806593603233</v>
      </c>
      <c r="S8" s="10">
        <f t="shared" si="9"/>
        <v>0.04071150549466936</v>
      </c>
      <c r="T8" s="9">
        <f t="shared" si="10"/>
        <v>23.511461934063966</v>
      </c>
      <c r="U8" s="10">
        <f t="shared" si="11"/>
        <v>0.042621827838663966</v>
      </c>
    </row>
    <row r="9" spans="1:21" ht="12.75">
      <c r="A9" s="5">
        <v>7</v>
      </c>
      <c r="B9" s="6" t="str">
        <f>September!B32</f>
        <v>Thursday</v>
      </c>
      <c r="C9" s="59"/>
      <c r="D9" s="7"/>
      <c r="E9" s="8" t="s">
        <v>36</v>
      </c>
      <c r="F9" s="6" t="s">
        <v>30</v>
      </c>
      <c r="G9" s="130"/>
      <c r="H9" s="9">
        <f t="shared" si="0"/>
        <v>12.047338435493137</v>
      </c>
      <c r="I9" s="9">
        <f t="shared" si="1"/>
        <v>6.175506985121038</v>
      </c>
      <c r="J9" s="9">
        <f t="shared" si="2"/>
        <v>0.3036755347489395</v>
      </c>
      <c r="K9" s="9">
        <f t="shared" si="3"/>
        <v>0.4255069851210379</v>
      </c>
      <c r="L9" s="9">
        <f t="shared" si="4"/>
        <v>0.5473384354931363</v>
      </c>
      <c r="M9" s="9">
        <f t="shared" si="5"/>
        <v>0.6691698858652347</v>
      </c>
      <c r="N9" s="9">
        <f t="shared" si="6"/>
        <v>0.7910013362373332</v>
      </c>
      <c r="O9" s="9">
        <f t="shared" si="7"/>
        <v>0.9191698858652347</v>
      </c>
      <c r="P9" s="9">
        <f>sunrise(Location!$B$4,Location!$B$5,Location!$B$6,10,A9,Location!$B$7,IF(Location!$B$8="No",0,1))</f>
        <v>0.3036755347489395</v>
      </c>
      <c r="Q9" s="9">
        <f>sunset(Location!$B$4,Location!$B$5,Location!$B$6,10,A9,Location!$B$7,IF(Location!$B$8="No",0,1))</f>
        <v>0.7910013362373332</v>
      </c>
      <c r="R9" s="9">
        <f t="shared" si="8"/>
        <v>0.48732580148839366</v>
      </c>
      <c r="S9" s="10">
        <f t="shared" si="9"/>
        <v>0.04061048345736614</v>
      </c>
      <c r="T9" s="9">
        <f t="shared" si="10"/>
        <v>23.512674198511608</v>
      </c>
      <c r="U9" s="10">
        <f t="shared" si="11"/>
        <v>0.04272284987596719</v>
      </c>
    </row>
    <row r="10" spans="1:21" ht="12.75">
      <c r="A10" s="5">
        <v>8</v>
      </c>
      <c r="B10" s="6" t="str">
        <f aca="true" t="shared" si="12" ref="B10:B16">B3</f>
        <v>Friday</v>
      </c>
      <c r="C10" s="59"/>
      <c r="D10" s="95" t="s">
        <v>35</v>
      </c>
      <c r="E10" s="8" t="s">
        <v>17</v>
      </c>
      <c r="F10" s="6" t="s">
        <v>95</v>
      </c>
      <c r="G10" s="130"/>
      <c r="H10" s="9">
        <f t="shared" si="0"/>
        <v>12.047141568139951</v>
      </c>
      <c r="I10" s="9">
        <f t="shared" si="1"/>
        <v>6.175612583646947</v>
      </c>
      <c r="J10" s="9">
        <f t="shared" si="2"/>
        <v>0.3040835991539436</v>
      </c>
      <c r="K10" s="9">
        <f t="shared" si="3"/>
        <v>0.42561258364694743</v>
      </c>
      <c r="L10" s="9">
        <f t="shared" si="4"/>
        <v>0.5471415681399512</v>
      </c>
      <c r="M10" s="9">
        <f t="shared" si="5"/>
        <v>0.668670552632955</v>
      </c>
      <c r="N10" s="9">
        <f t="shared" si="6"/>
        <v>0.7901995371259588</v>
      </c>
      <c r="O10" s="9">
        <f t="shared" si="7"/>
        <v>0.918670552632955</v>
      </c>
      <c r="P10" s="9">
        <f>sunrise(Location!$B$4,Location!$B$5,Location!$B$6,10,A10,Location!$B$7,IF(Location!$B$8="No",0,1))</f>
        <v>0.3040835991539436</v>
      </c>
      <c r="Q10" s="9">
        <f>sunset(Location!$B$4,Location!$B$5,Location!$B$6,10,A10,Location!$B$7,IF(Location!$B$8="No",0,1))</f>
        <v>0.7901995371259588</v>
      </c>
      <c r="R10" s="9">
        <f t="shared" si="8"/>
        <v>0.4861159379720152</v>
      </c>
      <c r="S10" s="10">
        <f t="shared" si="9"/>
        <v>0.04050966149766793</v>
      </c>
      <c r="T10" s="9">
        <f t="shared" si="10"/>
        <v>23.513884062027984</v>
      </c>
      <c r="U10" s="10">
        <f t="shared" si="11"/>
        <v>0.0428236718356654</v>
      </c>
    </row>
    <row r="11" spans="1:21" ht="12.75">
      <c r="A11" s="5">
        <v>9</v>
      </c>
      <c r="B11" s="6" t="str">
        <f t="shared" si="12"/>
        <v>Saturday</v>
      </c>
      <c r="C11" s="59"/>
      <c r="D11" s="95" t="s">
        <v>38</v>
      </c>
      <c r="E11" s="8" t="s">
        <v>21</v>
      </c>
      <c r="F11" s="6" t="s">
        <v>96</v>
      </c>
      <c r="G11" s="130"/>
      <c r="H11" s="9">
        <f t="shared" si="0"/>
        <v>12.04694971081999</v>
      </c>
      <c r="I11" s="9">
        <f t="shared" si="1"/>
        <v>6.175722539706337</v>
      </c>
      <c r="J11" s="9">
        <f t="shared" si="2"/>
        <v>0.3044953685926845</v>
      </c>
      <c r="K11" s="9">
        <f t="shared" si="3"/>
        <v>0.42572253970633633</v>
      </c>
      <c r="L11" s="9">
        <f t="shared" si="4"/>
        <v>0.5469497108199882</v>
      </c>
      <c r="M11" s="9">
        <f t="shared" si="5"/>
        <v>0.6681768819336401</v>
      </c>
      <c r="N11" s="9">
        <f t="shared" si="6"/>
        <v>0.789404053047292</v>
      </c>
      <c r="O11" s="9">
        <f t="shared" si="7"/>
        <v>0.9181768819336401</v>
      </c>
      <c r="P11" s="9">
        <f>sunrise(Location!$B$4,Location!$B$5,Location!$B$6,10,A11,Location!$B$7,IF(Location!$B$8="No",0,1))</f>
        <v>0.3044953685926845</v>
      </c>
      <c r="Q11" s="9">
        <f>sunset(Location!$B$4,Location!$B$5,Location!$B$6,10,A11,Location!$B$7,IF(Location!$B$8="No",0,1))</f>
        <v>0.789404053047292</v>
      </c>
      <c r="R11" s="9">
        <f t="shared" si="8"/>
        <v>0.4849086844546075</v>
      </c>
      <c r="S11" s="10">
        <f t="shared" si="9"/>
        <v>0.04040905703788396</v>
      </c>
      <c r="T11" s="9">
        <f t="shared" si="10"/>
        <v>23.515091315545394</v>
      </c>
      <c r="U11" s="10">
        <f t="shared" si="11"/>
        <v>0.04292427629544937</v>
      </c>
    </row>
    <row r="12" spans="1:21" ht="12.75">
      <c r="A12" s="5">
        <v>10</v>
      </c>
      <c r="B12" s="6" t="str">
        <f t="shared" si="12"/>
        <v>Sunday</v>
      </c>
      <c r="C12" s="59"/>
      <c r="D12" s="7"/>
      <c r="E12" s="8" t="s">
        <v>24</v>
      </c>
      <c r="F12" s="6" t="s">
        <v>97</v>
      </c>
      <c r="G12" s="134" t="s">
        <v>307</v>
      </c>
      <c r="H12" s="9">
        <f t="shared" si="0"/>
        <v>12.046763096141081</v>
      </c>
      <c r="I12" s="9">
        <f t="shared" si="1"/>
        <v>6.175837032317747</v>
      </c>
      <c r="J12" s="9">
        <f t="shared" si="2"/>
        <v>0.30491096849441324</v>
      </c>
      <c r="K12" s="9">
        <f t="shared" si="3"/>
        <v>0.4258370323177478</v>
      </c>
      <c r="L12" s="9">
        <f t="shared" si="4"/>
        <v>0.5467630961410823</v>
      </c>
      <c r="M12" s="9">
        <f t="shared" si="5"/>
        <v>0.6676891599644168</v>
      </c>
      <c r="N12" s="9">
        <f t="shared" si="6"/>
        <v>0.7886152237877514</v>
      </c>
      <c r="O12" s="9">
        <f t="shared" si="7"/>
        <v>0.9176891599644168</v>
      </c>
      <c r="P12" s="9">
        <f>sunrise(Location!$B$4,Location!$B$5,Location!$B$6,10,A12,Location!$B$7,IF(Location!$B$8="No",0,1))</f>
        <v>0.30491096849441324</v>
      </c>
      <c r="Q12" s="9">
        <f>sunset(Location!$B$4,Location!$B$5,Location!$B$6,10,A12,Location!$B$7,IF(Location!$B$8="No",0,1))</f>
        <v>0.7886152237877514</v>
      </c>
      <c r="R12" s="9">
        <f t="shared" si="8"/>
        <v>0.48370425529333816</v>
      </c>
      <c r="S12" s="10">
        <f t="shared" si="9"/>
        <v>0.04030868794111151</v>
      </c>
      <c r="T12" s="9">
        <f t="shared" si="10"/>
        <v>23.51629574470666</v>
      </c>
      <c r="U12" s="10">
        <f t="shared" si="11"/>
        <v>0.04302464539222182</v>
      </c>
    </row>
    <row r="13" spans="1:21" ht="12.75">
      <c r="A13" s="5">
        <v>11</v>
      </c>
      <c r="B13" s="6" t="str">
        <f t="shared" si="12"/>
        <v>Monday</v>
      </c>
      <c r="C13" s="59"/>
      <c r="D13" s="95" t="s">
        <v>40</v>
      </c>
      <c r="E13" s="8" t="s">
        <v>26</v>
      </c>
      <c r="F13" s="6" t="s">
        <v>98</v>
      </c>
      <c r="G13" s="130"/>
      <c r="H13" s="9">
        <f t="shared" si="0"/>
        <v>12.046581954954252</v>
      </c>
      <c r="I13" s="9">
        <f t="shared" si="1"/>
        <v>6.175956237345948</v>
      </c>
      <c r="J13" s="9">
        <f t="shared" si="2"/>
        <v>0.305330519737643</v>
      </c>
      <c r="K13" s="9">
        <f t="shared" si="3"/>
        <v>0.4259562373459479</v>
      </c>
      <c r="L13" s="9">
        <f t="shared" si="4"/>
        <v>0.5465819549542528</v>
      </c>
      <c r="M13" s="9">
        <f t="shared" si="5"/>
        <v>0.6672076725625578</v>
      </c>
      <c r="N13" s="9">
        <f t="shared" si="6"/>
        <v>0.7878333901708626</v>
      </c>
      <c r="O13" s="9">
        <f t="shared" si="7"/>
        <v>0.9172076725625578</v>
      </c>
      <c r="P13" s="9">
        <f>sunrise(Location!$B$4,Location!$B$5,Location!$B$6,10,A13,Location!$B$7,IF(Location!$B$8="No",0,1))</f>
        <v>0.305330519737643</v>
      </c>
      <c r="Q13" s="9">
        <f>sunset(Location!$B$4,Location!$B$5,Location!$B$6,10,A13,Location!$B$7,IF(Location!$B$8="No",0,1))</f>
        <v>0.7878333901708626</v>
      </c>
      <c r="R13" s="9">
        <f t="shared" si="8"/>
        <v>0.4825028704332196</v>
      </c>
      <c r="S13" s="10">
        <f t="shared" si="9"/>
        <v>0.04020857253610163</v>
      </c>
      <c r="T13" s="9">
        <f t="shared" si="10"/>
        <v>23.51749712956678</v>
      </c>
      <c r="U13" s="10">
        <f t="shared" si="11"/>
        <v>0.043124760797231695</v>
      </c>
    </row>
    <row r="14" spans="1:21" ht="12.75">
      <c r="A14" s="5">
        <v>12</v>
      </c>
      <c r="B14" s="6" t="str">
        <f t="shared" si="12"/>
        <v>Tuesday</v>
      </c>
      <c r="C14" s="59"/>
      <c r="D14" s="95" t="s">
        <v>42</v>
      </c>
      <c r="E14" s="8" t="s">
        <v>29</v>
      </c>
      <c r="F14" s="6" t="s">
        <v>99</v>
      </c>
      <c r="G14" s="130"/>
      <c r="H14" s="9">
        <f t="shared" si="0"/>
        <v>12.046406516090387</v>
      </c>
      <c r="I14" s="9">
        <f t="shared" si="1"/>
        <v>6.176080327166106</v>
      </c>
      <c r="J14" s="9">
        <f t="shared" si="2"/>
        <v>0.3057541382418255</v>
      </c>
      <c r="K14" s="9">
        <f t="shared" si="3"/>
        <v>0.4260803271661067</v>
      </c>
      <c r="L14" s="9">
        <f t="shared" si="4"/>
        <v>0.5464065160903879</v>
      </c>
      <c r="M14" s="9">
        <f t="shared" si="5"/>
        <v>0.6667327050146692</v>
      </c>
      <c r="N14" s="9">
        <f t="shared" si="6"/>
        <v>0.7870588939389503</v>
      </c>
      <c r="O14" s="9">
        <f t="shared" si="7"/>
        <v>0.9167327050146692</v>
      </c>
      <c r="P14" s="9">
        <f>sunrise(Location!$B$4,Location!$B$5,Location!$B$6,10,A14,Location!$B$7,IF(Location!$B$8="No",0,1))</f>
        <v>0.3057541382418255</v>
      </c>
      <c r="Q14" s="9">
        <f>sunset(Location!$B$4,Location!$B$5,Location!$B$6,10,A14,Location!$B$7,IF(Location!$B$8="No",0,1))</f>
        <v>0.7870588939389503</v>
      </c>
      <c r="R14" s="9">
        <f t="shared" si="8"/>
        <v>0.48130475569712483</v>
      </c>
      <c r="S14" s="10">
        <f t="shared" si="9"/>
        <v>0.04010872964142707</v>
      </c>
      <c r="T14" s="9">
        <f t="shared" si="10"/>
        <v>23.518695244302876</v>
      </c>
      <c r="U14" s="10">
        <f t="shared" si="11"/>
        <v>0.04322460369190626</v>
      </c>
    </row>
    <row r="15" spans="1:21" ht="12.75">
      <c r="A15" s="5">
        <v>13</v>
      </c>
      <c r="B15" s="6" t="str">
        <f t="shared" si="12"/>
        <v>Wednesday</v>
      </c>
      <c r="C15" s="59"/>
      <c r="D15" s="7"/>
      <c r="E15" s="8" t="s">
        <v>32</v>
      </c>
      <c r="F15" s="6" t="s">
        <v>101</v>
      </c>
      <c r="G15" s="130"/>
      <c r="H15" s="9">
        <f t="shared" si="0"/>
        <v>12.046237006086963</v>
      </c>
      <c r="I15" s="9">
        <f t="shared" si="1"/>
        <v>6.176209470318648</v>
      </c>
      <c r="J15" s="9">
        <f t="shared" si="2"/>
        <v>0.30618193455033266</v>
      </c>
      <c r="K15" s="9">
        <f t="shared" si="3"/>
        <v>0.42620947031864864</v>
      </c>
      <c r="L15" s="9">
        <f t="shared" si="4"/>
        <v>0.5462370060869646</v>
      </c>
      <c r="M15" s="9">
        <f t="shared" si="5"/>
        <v>0.6662645418552806</v>
      </c>
      <c r="N15" s="9">
        <f t="shared" si="6"/>
        <v>0.7862920776235965</v>
      </c>
      <c r="O15" s="9">
        <f t="shared" si="7"/>
        <v>0.9162645418552806</v>
      </c>
      <c r="P15" s="9">
        <f>sunrise(Location!$B$4,Location!$B$5,Location!$B$6,10,A15,Location!$B$7,IF(Location!$B$8="No",0,1))</f>
        <v>0.30618193455033266</v>
      </c>
      <c r="Q15" s="9">
        <f>sunset(Location!$B$4,Location!$B$5,Location!$B$6,10,A15,Location!$B$7,IF(Location!$B$8="No",0,1))</f>
        <v>0.7862920776235965</v>
      </c>
      <c r="R15" s="9">
        <f t="shared" si="8"/>
        <v>0.4801101430732639</v>
      </c>
      <c r="S15" s="10">
        <f t="shared" si="9"/>
        <v>0.04000917858943866</v>
      </c>
      <c r="T15" s="9">
        <f t="shared" si="10"/>
        <v>23.519889856926735</v>
      </c>
      <c r="U15" s="10">
        <f t="shared" si="11"/>
        <v>0.04332415474389467</v>
      </c>
    </row>
    <row r="16" spans="1:21" ht="12.75">
      <c r="A16" s="5">
        <v>14</v>
      </c>
      <c r="B16" s="6" t="str">
        <f t="shared" si="12"/>
        <v>Thursday</v>
      </c>
      <c r="C16" s="59"/>
      <c r="D16" s="95" t="s">
        <v>45</v>
      </c>
      <c r="E16" s="8" t="s">
        <v>36</v>
      </c>
      <c r="F16" s="6" t="s">
        <v>46</v>
      </c>
      <c r="G16" s="130"/>
      <c r="H16" s="9">
        <f t="shared" si="0"/>
        <v>12.046073648902553</v>
      </c>
      <c r="I16" s="9">
        <f t="shared" si="1"/>
        <v>6.176343831153455</v>
      </c>
      <c r="J16" s="9">
        <f t="shared" si="2"/>
        <v>0.30661401340435623</v>
      </c>
      <c r="K16" s="9">
        <f t="shared" si="3"/>
        <v>0.4263438311534539</v>
      </c>
      <c r="L16" s="9">
        <f t="shared" si="4"/>
        <v>0.5460736489025516</v>
      </c>
      <c r="M16" s="9">
        <f t="shared" si="5"/>
        <v>0.6658034666516492</v>
      </c>
      <c r="N16" s="9">
        <f t="shared" si="6"/>
        <v>0.785533284400747</v>
      </c>
      <c r="O16" s="9">
        <f t="shared" si="7"/>
        <v>0.9158034666516492</v>
      </c>
      <c r="P16" s="9">
        <f>sunrise(Location!$B$4,Location!$B$5,Location!$B$6,10,A16,Location!$B$7,IF(Location!$B$8="No",0,1))</f>
        <v>0.30661401340435623</v>
      </c>
      <c r="Q16" s="9">
        <f>sunset(Location!$B$4,Location!$B$5,Location!$B$6,10,A16,Location!$B$7,IF(Location!$B$8="No",0,1))</f>
        <v>0.785533284400747</v>
      </c>
      <c r="R16" s="9">
        <f t="shared" si="8"/>
        <v>0.47891927099639076</v>
      </c>
      <c r="S16" s="10">
        <f t="shared" si="9"/>
        <v>0.03990993924969923</v>
      </c>
      <c r="T16" s="9">
        <f t="shared" si="10"/>
        <v>23.52108072900361</v>
      </c>
      <c r="U16" s="10">
        <f t="shared" si="11"/>
        <v>0.0434233940836341</v>
      </c>
    </row>
    <row r="17" spans="1:21" ht="12.75">
      <c r="A17" s="5">
        <v>15</v>
      </c>
      <c r="B17" s="6" t="str">
        <f aca="true" t="shared" si="13" ref="B17:B23">B3</f>
        <v>Friday</v>
      </c>
      <c r="C17" s="59"/>
      <c r="D17" s="7"/>
      <c r="E17" s="8" t="s">
        <v>17</v>
      </c>
      <c r="F17" s="6" t="s">
        <v>47</v>
      </c>
      <c r="G17" s="130"/>
      <c r="H17" s="9">
        <f t="shared" si="0"/>
        <v>12.045916665622633</v>
      </c>
      <c r="I17" s="9">
        <f t="shared" si="1"/>
        <v>6.176483569466416</v>
      </c>
      <c r="J17" s="9">
        <f t="shared" si="2"/>
        <v>0.30705047331019997</v>
      </c>
      <c r="K17" s="9">
        <f t="shared" si="3"/>
        <v>0.4264835694664168</v>
      </c>
      <c r="L17" s="9">
        <f t="shared" si="4"/>
        <v>0.5459166656226336</v>
      </c>
      <c r="M17" s="9">
        <f t="shared" si="5"/>
        <v>0.6653497617788504</v>
      </c>
      <c r="N17" s="9">
        <f t="shared" si="6"/>
        <v>0.7847828579350673</v>
      </c>
      <c r="O17" s="9">
        <f t="shared" si="7"/>
        <v>0.9153497617788504</v>
      </c>
      <c r="P17" s="9">
        <f>sunrise(Location!$B$4,Location!$B$5,Location!$B$6,10,A17,Location!$B$7,IF(Location!$B$8="No",0,1))</f>
        <v>0.30705047331019997</v>
      </c>
      <c r="Q17" s="9">
        <f>sunset(Location!$B$4,Location!$B$5,Location!$B$6,10,A17,Location!$B$7,IF(Location!$B$8="No",0,1))</f>
        <v>0.7847828579350673</v>
      </c>
      <c r="R17" s="9">
        <f t="shared" si="8"/>
        <v>0.47773238462486733</v>
      </c>
      <c r="S17" s="10">
        <f t="shared" si="9"/>
        <v>0.03981103205207228</v>
      </c>
      <c r="T17" s="9">
        <f t="shared" si="10"/>
        <v>23.52226761537513</v>
      </c>
      <c r="U17" s="10">
        <f t="shared" si="11"/>
        <v>0.04352230128126105</v>
      </c>
    </row>
    <row r="18" spans="1:21" ht="12.75">
      <c r="A18" s="5">
        <v>16</v>
      </c>
      <c r="B18" s="6" t="str">
        <f t="shared" si="13"/>
        <v>Saturday</v>
      </c>
      <c r="C18" s="59"/>
      <c r="D18" s="95" t="s">
        <v>48</v>
      </c>
      <c r="E18" s="8" t="s">
        <v>21</v>
      </c>
      <c r="F18" s="6" t="s">
        <v>102</v>
      </c>
      <c r="G18" s="130"/>
      <c r="H18" s="9">
        <f t="shared" si="0"/>
        <v>12.045766274154186</v>
      </c>
      <c r="I18" s="9">
        <f t="shared" si="1"/>
        <v>6.17662884012721</v>
      </c>
      <c r="J18" s="9">
        <f t="shared" si="2"/>
        <v>0.30749140610023257</v>
      </c>
      <c r="K18" s="9">
        <f t="shared" si="3"/>
        <v>0.4266288401272095</v>
      </c>
      <c r="L18" s="9">
        <f t="shared" si="4"/>
        <v>0.5457662741541864</v>
      </c>
      <c r="M18" s="9">
        <f t="shared" si="5"/>
        <v>0.6649037081811634</v>
      </c>
      <c r="N18" s="9">
        <f t="shared" si="6"/>
        <v>0.7840411422081404</v>
      </c>
      <c r="O18" s="9">
        <f t="shared" si="7"/>
        <v>0.9149037081811634</v>
      </c>
      <c r="P18" s="9">
        <f>sunrise(Location!$B$4,Location!$B$5,Location!$B$6,10,A18,Location!$B$7,IF(Location!$B$8="No",0,1))</f>
        <v>0.30749140610023257</v>
      </c>
      <c r="Q18" s="9">
        <f>sunset(Location!$B$4,Location!$B$5,Location!$B$6,10,A18,Location!$B$7,IF(Location!$B$8="No",0,1))</f>
        <v>0.7840411422081404</v>
      </c>
      <c r="R18" s="9">
        <f t="shared" si="8"/>
        <v>0.4765497361079078</v>
      </c>
      <c r="S18" s="10">
        <f t="shared" si="9"/>
        <v>0.039712478008992316</v>
      </c>
      <c r="T18" s="9">
        <f t="shared" si="10"/>
        <v>23.52345026389209</v>
      </c>
      <c r="U18" s="10">
        <f t="shared" si="11"/>
        <v>0.04362085532434101</v>
      </c>
    </row>
    <row r="19" spans="1:21" ht="12.75">
      <c r="A19" s="5">
        <v>17</v>
      </c>
      <c r="B19" s="6" t="str">
        <f t="shared" si="13"/>
        <v>Sunday</v>
      </c>
      <c r="C19" s="59"/>
      <c r="D19" s="95" t="s">
        <v>50</v>
      </c>
      <c r="E19" s="8" t="s">
        <v>24</v>
      </c>
      <c r="F19" s="6" t="s">
        <v>103</v>
      </c>
      <c r="G19" s="134" t="s">
        <v>308</v>
      </c>
      <c r="H19" s="9">
        <f t="shared" si="0"/>
        <v>12.045622688909205</v>
      </c>
      <c r="I19" s="9">
        <f t="shared" si="1"/>
        <v>6.176779792697254</v>
      </c>
      <c r="J19" s="9">
        <f t="shared" si="2"/>
        <v>0.307936896485304</v>
      </c>
      <c r="K19" s="9">
        <f t="shared" si="3"/>
        <v>0.4267797926972547</v>
      </c>
      <c r="L19" s="9">
        <f t="shared" si="4"/>
        <v>0.5456226889092054</v>
      </c>
      <c r="M19" s="9">
        <f t="shared" si="5"/>
        <v>0.664465585121156</v>
      </c>
      <c r="N19" s="9">
        <f t="shared" si="6"/>
        <v>0.7833084813331068</v>
      </c>
      <c r="O19" s="9">
        <f t="shared" si="7"/>
        <v>0.914465585121156</v>
      </c>
      <c r="P19" s="9">
        <f>sunrise(Location!$B$4,Location!$B$5,Location!$B$6,10,A19,Location!$B$7,IF(Location!$B$8="No",0,1))</f>
        <v>0.307936896485304</v>
      </c>
      <c r="Q19" s="9">
        <f>sunset(Location!$B$4,Location!$B$5,Location!$B$6,10,A19,Location!$B$7,IF(Location!$B$8="No",0,1))</f>
        <v>0.7833084813331068</v>
      </c>
      <c r="R19" s="9">
        <f t="shared" si="8"/>
        <v>0.47537158484780284</v>
      </c>
      <c r="S19" s="10">
        <f t="shared" si="9"/>
        <v>0.0396142987373169</v>
      </c>
      <c r="T19" s="9">
        <f t="shared" si="10"/>
        <v>23.524628415152197</v>
      </c>
      <c r="U19" s="10">
        <f t="shared" si="11"/>
        <v>0.04371903459601643</v>
      </c>
    </row>
    <row r="20" spans="1:21" ht="12.75">
      <c r="A20" s="5">
        <v>18</v>
      </c>
      <c r="B20" s="6" t="str">
        <f t="shared" si="13"/>
        <v>Monday</v>
      </c>
      <c r="C20" s="59"/>
      <c r="D20" s="7"/>
      <c r="E20" s="8" t="s">
        <v>26</v>
      </c>
      <c r="F20" s="6" t="s">
        <v>105</v>
      </c>
      <c r="G20" s="47" t="s">
        <v>227</v>
      </c>
      <c r="H20" s="9">
        <f t="shared" si="0"/>
        <v>12.0454861204819</v>
      </c>
      <c r="I20" s="9">
        <f t="shared" si="1"/>
        <v>6.176936571043937</v>
      </c>
      <c r="J20" s="9">
        <f t="shared" si="2"/>
        <v>0.30838702160597364</v>
      </c>
      <c r="K20" s="9">
        <f t="shared" si="3"/>
        <v>0.42693657104393656</v>
      </c>
      <c r="L20" s="9">
        <f t="shared" si="4"/>
        <v>0.5454861204818995</v>
      </c>
      <c r="M20" s="9">
        <f t="shared" si="5"/>
        <v>0.6640356699198624</v>
      </c>
      <c r="N20" s="9">
        <f t="shared" si="6"/>
        <v>0.7825852193578252</v>
      </c>
      <c r="O20" s="9">
        <f t="shared" si="7"/>
        <v>0.9140356699198623</v>
      </c>
      <c r="P20" s="9">
        <f>sunrise(Location!$B$4,Location!$B$5,Location!$B$6,10,A20,Location!$B$7,IF(Location!$B$8="No",0,1))</f>
        <v>0.30838702160597364</v>
      </c>
      <c r="Q20" s="9">
        <f>sunset(Location!$B$4,Location!$B$5,Location!$B$6,10,A20,Location!$B$7,IF(Location!$B$8="No",0,1))</f>
        <v>0.7825852193578252</v>
      </c>
      <c r="R20" s="9">
        <f t="shared" si="8"/>
        <v>0.47419819775185157</v>
      </c>
      <c r="S20" s="10">
        <f t="shared" si="9"/>
        <v>0.039516516479320966</v>
      </c>
      <c r="T20" s="9">
        <f t="shared" si="10"/>
        <v>23.52580180224815</v>
      </c>
      <c r="U20" s="10">
        <f t="shared" si="11"/>
        <v>0.04381681685401236</v>
      </c>
    </row>
    <row r="21" spans="1:21" ht="12.75">
      <c r="A21" s="5">
        <v>19</v>
      </c>
      <c r="B21" s="6" t="str">
        <f t="shared" si="13"/>
        <v>Tuesday</v>
      </c>
      <c r="C21" s="59"/>
      <c r="D21" s="95" t="s">
        <v>53</v>
      </c>
      <c r="E21" s="8" t="s">
        <v>29</v>
      </c>
      <c r="F21" s="6" t="s">
        <v>107</v>
      </c>
      <c r="G21" s="130"/>
      <c r="H21" s="9">
        <f t="shared" si="0"/>
        <v>12.045356775315197</v>
      </c>
      <c r="I21" s="9">
        <f t="shared" si="1"/>
        <v>6.177099312946055</v>
      </c>
      <c r="J21" s="9">
        <f t="shared" si="2"/>
        <v>0.30884185057691255</v>
      </c>
      <c r="K21" s="9">
        <f t="shared" si="3"/>
        <v>0.42709931294605463</v>
      </c>
      <c r="L21" s="9">
        <f t="shared" si="4"/>
        <v>0.5453567753151968</v>
      </c>
      <c r="M21" s="9">
        <f t="shared" si="5"/>
        <v>0.6636142376843388</v>
      </c>
      <c r="N21" s="9">
        <f t="shared" si="6"/>
        <v>0.781871700053481</v>
      </c>
      <c r="O21" s="9">
        <f t="shared" si="7"/>
        <v>0.9136142376843388</v>
      </c>
      <c r="P21" s="9">
        <f>sunrise(Location!$B$4,Location!$B$5,Location!$B$6,10,A21,Location!$B$7,IF(Location!$B$8="No",0,1))</f>
        <v>0.30884185057691255</v>
      </c>
      <c r="Q21" s="9">
        <f>sunset(Location!$B$4,Location!$B$5,Location!$B$6,10,A21,Location!$B$7,IF(Location!$B$8="No",0,1))</f>
        <v>0.781871700053481</v>
      </c>
      <c r="R21" s="9">
        <f t="shared" si="8"/>
        <v>0.4730298494765684</v>
      </c>
      <c r="S21" s="10">
        <f t="shared" si="9"/>
        <v>0.03941915412304737</v>
      </c>
      <c r="T21" s="9">
        <f t="shared" si="10"/>
        <v>23.526970150523432</v>
      </c>
      <c r="U21" s="10">
        <f t="shared" si="11"/>
        <v>0.04391417921028596</v>
      </c>
    </row>
    <row r="22" spans="1:21" ht="12.75">
      <c r="A22" s="5">
        <v>20</v>
      </c>
      <c r="B22" s="6" t="str">
        <f t="shared" si="13"/>
        <v>Wednesday</v>
      </c>
      <c r="C22" s="59"/>
      <c r="D22" s="95" t="s">
        <v>55</v>
      </c>
      <c r="E22" s="8" t="s">
        <v>32</v>
      </c>
      <c r="F22" s="6" t="s">
        <v>108</v>
      </c>
      <c r="G22" s="130"/>
      <c r="H22" s="9">
        <f t="shared" si="0"/>
        <v>12.045234855359798</v>
      </c>
      <c r="I22" s="9">
        <f t="shared" si="1"/>
        <v>6.177268149695424</v>
      </c>
      <c r="J22" s="9">
        <f t="shared" si="2"/>
        <v>0.30930144403105025</v>
      </c>
      <c r="K22" s="9">
        <f t="shared" si="3"/>
        <v>0.4272681496954248</v>
      </c>
      <c r="L22" s="9">
        <f t="shared" si="4"/>
        <v>0.5452348553597993</v>
      </c>
      <c r="M22" s="9">
        <f t="shared" si="5"/>
        <v>0.6632015610241738</v>
      </c>
      <c r="N22" s="9">
        <f t="shared" si="6"/>
        <v>0.7811682666885483</v>
      </c>
      <c r="O22" s="9">
        <f t="shared" si="7"/>
        <v>0.9132015610241738</v>
      </c>
      <c r="P22" s="9">
        <f>sunrise(Location!$B$4,Location!$B$5,Location!$B$6,10,A22,Location!$B$7,IF(Location!$B$8="No",0,1))</f>
        <v>0.30930144403105025</v>
      </c>
      <c r="Q22" s="9">
        <f>sunset(Location!$B$4,Location!$B$5,Location!$B$6,10,A22,Location!$B$7,IF(Location!$B$8="No",0,1))</f>
        <v>0.7811682666885483</v>
      </c>
      <c r="R22" s="9">
        <f t="shared" si="8"/>
        <v>0.4718668226574981</v>
      </c>
      <c r="S22" s="10">
        <f t="shared" si="9"/>
        <v>0.039322235221458175</v>
      </c>
      <c r="T22" s="9">
        <f t="shared" si="10"/>
        <v>23.5281331773425</v>
      </c>
      <c r="U22" s="10">
        <f t="shared" si="11"/>
        <v>0.044011098111875153</v>
      </c>
    </row>
    <row r="23" spans="1:21" ht="12.75">
      <c r="A23" s="5">
        <v>21</v>
      </c>
      <c r="B23" s="6" t="str">
        <f t="shared" si="13"/>
        <v>Thursday</v>
      </c>
      <c r="C23" s="59"/>
      <c r="D23" s="7"/>
      <c r="E23" s="8" t="s">
        <v>36</v>
      </c>
      <c r="F23" s="6" t="s">
        <v>110</v>
      </c>
      <c r="G23" s="130"/>
      <c r="H23" s="9">
        <f t="shared" si="0"/>
        <v>12.045120557725564</v>
      </c>
      <c r="I23" s="9">
        <f t="shared" si="1"/>
        <v>6.177443205692866</v>
      </c>
      <c r="J23" s="9">
        <f t="shared" si="2"/>
        <v>0.3097658536601674</v>
      </c>
      <c r="K23" s="9">
        <f t="shared" si="3"/>
        <v>0.4274432056928665</v>
      </c>
      <c r="L23" s="9">
        <f t="shared" si="4"/>
        <v>0.5451205577255656</v>
      </c>
      <c r="M23" s="9">
        <f t="shared" si="5"/>
        <v>0.6627979097582646</v>
      </c>
      <c r="N23" s="9">
        <f t="shared" si="6"/>
        <v>0.7804752617909637</v>
      </c>
      <c r="O23" s="9">
        <f t="shared" si="7"/>
        <v>0.9127979097582646</v>
      </c>
      <c r="P23" s="9">
        <f>sunrise(Location!$B$4,Location!$B$5,Location!$B$6,10,A23,Location!$B$7,IF(Location!$B$8="No",0,1))</f>
        <v>0.3097658536601674</v>
      </c>
      <c r="Q23" s="9">
        <f>sunset(Location!$B$4,Location!$B$5,Location!$B$6,10,A23,Location!$B$7,IF(Location!$B$8="No",0,1))</f>
        <v>0.7804752617909637</v>
      </c>
      <c r="R23" s="9">
        <f t="shared" si="8"/>
        <v>0.4707094081307963</v>
      </c>
      <c r="S23" s="10">
        <f t="shared" si="9"/>
        <v>0.03922578401089969</v>
      </c>
      <c r="T23" s="9">
        <f t="shared" si="10"/>
        <v>23.529290591869202</v>
      </c>
      <c r="U23" s="10">
        <f t="shared" si="11"/>
        <v>0.04410754932243364</v>
      </c>
    </row>
    <row r="24" spans="1:21" ht="12.75">
      <c r="A24" s="5">
        <v>22</v>
      </c>
      <c r="B24" s="6" t="str">
        <f aca="true" t="shared" si="14" ref="B24:B30">B3</f>
        <v>Friday</v>
      </c>
      <c r="C24" s="59"/>
      <c r="D24" s="95" t="s">
        <v>59</v>
      </c>
      <c r="E24" s="8" t="s">
        <v>17</v>
      </c>
      <c r="F24" s="6" t="s">
        <v>111</v>
      </c>
      <c r="G24" s="130"/>
      <c r="H24" s="9">
        <f t="shared" si="0"/>
        <v>12.04501407432813</v>
      </c>
      <c r="I24" s="9">
        <f t="shared" si="1"/>
        <v>6.177624598043067</v>
      </c>
      <c r="J24" s="9">
        <f t="shared" si="2"/>
        <v>0.31023512175800555</v>
      </c>
      <c r="K24" s="9">
        <f t="shared" si="3"/>
        <v>0.4276245980430671</v>
      </c>
      <c r="L24" s="9">
        <f t="shared" si="4"/>
        <v>0.5450140743281287</v>
      </c>
      <c r="M24" s="9">
        <f t="shared" si="5"/>
        <v>0.6624035506131902</v>
      </c>
      <c r="N24" s="9">
        <f t="shared" si="6"/>
        <v>0.7797930268982517</v>
      </c>
      <c r="O24" s="9">
        <f t="shared" si="7"/>
        <v>0.9124035506131901</v>
      </c>
      <c r="P24" s="9">
        <f>sunrise(Location!$B$4,Location!$B$5,Location!$B$6,10,A24,Location!$B$7,IF(Location!$B$8="No",0,1))</f>
        <v>0.31023512175800555</v>
      </c>
      <c r="Q24" s="9">
        <f>sunset(Location!$B$4,Location!$B$5,Location!$B$6,10,A24,Location!$B$7,IF(Location!$B$8="No",0,1))</f>
        <v>0.7797930268982517</v>
      </c>
      <c r="R24" s="9">
        <f t="shared" si="8"/>
        <v>0.46955790514024615</v>
      </c>
      <c r="S24" s="10">
        <f t="shared" si="9"/>
        <v>0.039129825428353845</v>
      </c>
      <c r="T24" s="9">
        <f t="shared" si="10"/>
        <v>23.530442094859755</v>
      </c>
      <c r="U24" s="10">
        <f t="shared" si="11"/>
        <v>0.04420350790497948</v>
      </c>
    </row>
    <row r="25" spans="1:21" ht="12.75">
      <c r="A25" s="5">
        <v>23</v>
      </c>
      <c r="B25" s="6" t="str">
        <f t="shared" si="14"/>
        <v>Saturday</v>
      </c>
      <c r="C25" s="59"/>
      <c r="D25" s="95" t="s">
        <v>61</v>
      </c>
      <c r="E25" s="8" t="s">
        <v>21</v>
      </c>
      <c r="F25" s="6" t="s">
        <v>112</v>
      </c>
      <c r="G25" s="47" t="s">
        <v>228</v>
      </c>
      <c r="H25" s="9">
        <f t="shared" si="0"/>
        <v>12.044915591528476</v>
      </c>
      <c r="I25" s="9">
        <f t="shared" si="1"/>
        <v>6.177812436146246</v>
      </c>
      <c r="J25" s="9">
        <f t="shared" si="2"/>
        <v>0.3107092807640162</v>
      </c>
      <c r="K25" s="9">
        <f t="shared" si="3"/>
        <v>0.42781243614624664</v>
      </c>
      <c r="L25" s="9">
        <f t="shared" si="4"/>
        <v>0.544915591528477</v>
      </c>
      <c r="M25" s="9">
        <f t="shared" si="5"/>
        <v>0.6620187469107074</v>
      </c>
      <c r="N25" s="9">
        <f t="shared" si="6"/>
        <v>0.7791219022929378</v>
      </c>
      <c r="O25" s="9">
        <f t="shared" si="7"/>
        <v>0.9120187469107074</v>
      </c>
      <c r="P25" s="9">
        <f>sunrise(Location!$B$4,Location!$B$5,Location!$B$6,10,A25,Location!$B$7,IF(Location!$B$8="No",0,1))</f>
        <v>0.3107092807640162</v>
      </c>
      <c r="Q25" s="9">
        <f>sunset(Location!$B$4,Location!$B$5,Location!$B$6,10,A25,Location!$B$7,IF(Location!$B$8="No",0,1))</f>
        <v>0.7791219022929378</v>
      </c>
      <c r="R25" s="9">
        <f t="shared" si="8"/>
        <v>0.46841262152892155</v>
      </c>
      <c r="S25" s="10">
        <f t="shared" si="9"/>
        <v>0.03903438512741013</v>
      </c>
      <c r="T25" s="9">
        <f t="shared" si="10"/>
        <v>23.531587378471077</v>
      </c>
      <c r="U25" s="10">
        <f t="shared" si="11"/>
        <v>0.0442989482059232</v>
      </c>
    </row>
    <row r="26" spans="1:21" ht="12.75">
      <c r="A26" s="5">
        <v>24</v>
      </c>
      <c r="B26" s="6" t="str">
        <f t="shared" si="14"/>
        <v>Sunday</v>
      </c>
      <c r="C26" s="59"/>
      <c r="D26" s="7"/>
      <c r="E26" s="8" t="s">
        <v>24</v>
      </c>
      <c r="F26" s="6" t="s">
        <v>113</v>
      </c>
      <c r="G26" s="134" t="s">
        <v>309</v>
      </c>
      <c r="H26" s="9">
        <f t="shared" si="0"/>
        <v>12.044825289767505</v>
      </c>
      <c r="I26" s="9">
        <f t="shared" si="1"/>
        <v>6.1780068212884975</v>
      </c>
      <c r="J26" s="9">
        <f t="shared" si="2"/>
        <v>0.3111883528094894</v>
      </c>
      <c r="K26" s="9">
        <f t="shared" si="3"/>
        <v>0.4280068212884973</v>
      </c>
      <c r="L26" s="9">
        <f t="shared" si="4"/>
        <v>0.5448252897675052</v>
      </c>
      <c r="M26" s="9">
        <f t="shared" si="5"/>
        <v>0.6616437582465131</v>
      </c>
      <c r="N26" s="9">
        <f t="shared" si="6"/>
        <v>0.7784622267255211</v>
      </c>
      <c r="O26" s="9">
        <f t="shared" si="7"/>
        <v>0.9116437582465132</v>
      </c>
      <c r="P26" s="9">
        <f>sunrise(Location!$B$4,Location!$B$5,Location!$B$6,10,A26,Location!$B$7,IF(Location!$B$8="No",0,1))</f>
        <v>0.3111883528094894</v>
      </c>
      <c r="Q26" s="9">
        <f>sunset(Location!$B$4,Location!$B$5,Location!$B$6,10,A26,Location!$B$7,IF(Location!$B$8="No",0,1))</f>
        <v>0.7784622267255211</v>
      </c>
      <c r="R26" s="9">
        <f t="shared" si="8"/>
        <v>0.4672738739160317</v>
      </c>
      <c r="S26" s="10">
        <f t="shared" si="9"/>
        <v>0.03893948949300264</v>
      </c>
      <c r="T26" s="9">
        <f t="shared" si="10"/>
        <v>23.53272612608397</v>
      </c>
      <c r="U26" s="10">
        <f t="shared" si="11"/>
        <v>0.04439384384033069</v>
      </c>
    </row>
    <row r="27" spans="1:21" ht="12.75">
      <c r="A27" s="5">
        <v>25</v>
      </c>
      <c r="B27" s="6" t="str">
        <f t="shared" si="14"/>
        <v>Monday</v>
      </c>
      <c r="C27" s="59"/>
      <c r="D27" s="7"/>
      <c r="E27" s="8" t="s">
        <v>26</v>
      </c>
      <c r="F27" s="6" t="s">
        <v>114</v>
      </c>
      <c r="G27" s="130"/>
      <c r="H27" s="9">
        <f t="shared" si="0"/>
        <v>12.04474334319908</v>
      </c>
      <c r="I27" s="9">
        <f t="shared" si="1"/>
        <v>6.178207846234624</v>
      </c>
      <c r="J27" s="9">
        <f t="shared" si="2"/>
        <v>0.3116723492701681</v>
      </c>
      <c r="K27" s="9">
        <f t="shared" si="3"/>
        <v>0.42820784623462416</v>
      </c>
      <c r="L27" s="9">
        <f t="shared" si="4"/>
        <v>0.5447433431990802</v>
      </c>
      <c r="M27" s="9">
        <f t="shared" si="5"/>
        <v>0.6612788401635363</v>
      </c>
      <c r="N27" s="9">
        <f t="shared" si="6"/>
        <v>0.7778143371279924</v>
      </c>
      <c r="O27" s="9">
        <f t="shared" si="7"/>
        <v>0.9112788401635363</v>
      </c>
      <c r="P27" s="9">
        <f>sunrise(Location!$B$4,Location!$B$5,Location!$B$6,10,A27,Location!$B$7,IF(Location!$B$8="No",0,1))</f>
        <v>0.3116723492701681</v>
      </c>
      <c r="Q27" s="9">
        <f>sunset(Location!$B$4,Location!$B$5,Location!$B$6,10,A27,Location!$B$7,IF(Location!$B$8="No",0,1))</f>
        <v>0.7778143371279924</v>
      </c>
      <c r="R27" s="9">
        <f t="shared" si="8"/>
        <v>0.4661419878578243</v>
      </c>
      <c r="S27" s="10">
        <f t="shared" si="9"/>
        <v>0.03884516565481869</v>
      </c>
      <c r="T27" s="9">
        <f t="shared" si="10"/>
        <v>23.533858012142176</v>
      </c>
      <c r="U27" s="10">
        <f t="shared" si="11"/>
        <v>0.044488167678514635</v>
      </c>
    </row>
    <row r="28" spans="1:21" ht="12.75">
      <c r="A28" s="5">
        <v>26</v>
      </c>
      <c r="B28" s="6" t="str">
        <f t="shared" si="14"/>
        <v>Tuesday</v>
      </c>
      <c r="C28" s="59"/>
      <c r="D28" s="95" t="s">
        <v>64</v>
      </c>
      <c r="E28" s="8" t="s">
        <v>29</v>
      </c>
      <c r="F28" s="6" t="s">
        <v>116</v>
      </c>
      <c r="G28" s="130"/>
      <c r="H28" s="9">
        <f t="shared" si="0"/>
        <v>12.044669919318308</v>
      </c>
      <c r="I28" s="9">
        <f t="shared" si="1"/>
        <v>6.178415594821624</v>
      </c>
      <c r="J28" s="9">
        <f t="shared" si="2"/>
        <v>0.3121612703249399</v>
      </c>
      <c r="K28" s="9">
        <f t="shared" si="3"/>
        <v>0.4284155948216235</v>
      </c>
      <c r="L28" s="9">
        <f t="shared" si="4"/>
        <v>0.5446699193183071</v>
      </c>
      <c r="M28" s="9">
        <f t="shared" si="5"/>
        <v>0.6609242438149907</v>
      </c>
      <c r="N28" s="9">
        <f t="shared" si="6"/>
        <v>0.7771785683116743</v>
      </c>
      <c r="O28" s="9">
        <f t="shared" si="7"/>
        <v>0.9109242438149907</v>
      </c>
      <c r="P28" s="9">
        <f>sunrise(Location!$B$4,Location!$B$5,Location!$B$6,10,A28,Location!$B$7,IF(Location!$B$8="No",0,1))</f>
        <v>0.3121612703249399</v>
      </c>
      <c r="Q28" s="9">
        <f>sunset(Location!$B$4,Location!$B$5,Location!$B$6,10,A28,Location!$B$7,IF(Location!$B$8="No",0,1))</f>
        <v>0.7771785683116743</v>
      </c>
      <c r="R28" s="9">
        <f t="shared" si="8"/>
        <v>0.4650172979867344</v>
      </c>
      <c r="S28" s="10">
        <f t="shared" si="9"/>
        <v>0.038751441498894534</v>
      </c>
      <c r="T28" s="9">
        <f t="shared" si="10"/>
        <v>23.534982702013266</v>
      </c>
      <c r="U28" s="10">
        <f t="shared" si="11"/>
        <v>0.044581891834438794</v>
      </c>
    </row>
    <row r="29" spans="1:21" ht="12.75">
      <c r="A29" s="5">
        <v>27</v>
      </c>
      <c r="B29" s="6" t="str">
        <f t="shared" si="14"/>
        <v>Wednesday</v>
      </c>
      <c r="C29" s="59"/>
      <c r="D29" s="95" t="s">
        <v>67</v>
      </c>
      <c r="E29" s="8" t="s">
        <v>32</v>
      </c>
      <c r="F29" s="6" t="s">
        <v>117</v>
      </c>
      <c r="G29" s="130"/>
      <c r="H29" s="9">
        <f t="shared" si="0"/>
        <v>12.044605178589237</v>
      </c>
      <c r="I29" s="9">
        <f t="shared" si="1"/>
        <v>6.178630141556043</v>
      </c>
      <c r="J29" s="9">
        <f t="shared" si="2"/>
        <v>0.31265510452285045</v>
      </c>
      <c r="K29" s="9">
        <f t="shared" si="3"/>
        <v>0.42863014155604284</v>
      </c>
      <c r="L29" s="9">
        <f t="shared" si="4"/>
        <v>0.5446051785892353</v>
      </c>
      <c r="M29" s="9">
        <f t="shared" si="5"/>
        <v>0.6605802156224277</v>
      </c>
      <c r="N29" s="9">
        <f t="shared" si="6"/>
        <v>0.7765552526556202</v>
      </c>
      <c r="O29" s="9">
        <f t="shared" si="7"/>
        <v>0.9105802156224277</v>
      </c>
      <c r="P29" s="9">
        <f>sunrise(Location!$B$4,Location!$B$5,Location!$B$6,10,A29,Location!$B$7,IF(Location!$B$8="No",0,1))</f>
        <v>0.31265510452285045</v>
      </c>
      <c r="Q29" s="9">
        <f>sunset(Location!$B$4,Location!$B$5,Location!$B$6,10,A29,Location!$B$7,IF(Location!$B$8="No",0,1))</f>
        <v>0.7765552526556202</v>
      </c>
      <c r="R29" s="9">
        <f t="shared" si="8"/>
        <v>0.46390014813276975</v>
      </c>
      <c r="S29" s="10">
        <f t="shared" si="9"/>
        <v>0.03865834567773081</v>
      </c>
      <c r="T29" s="9">
        <f t="shared" si="10"/>
        <v>23.53609985186723</v>
      </c>
      <c r="U29" s="10">
        <f t="shared" si="11"/>
        <v>0.044674987655602516</v>
      </c>
    </row>
    <row r="30" spans="1:21" ht="12.75">
      <c r="A30" s="5">
        <v>28</v>
      </c>
      <c r="B30" s="6" t="str">
        <f t="shared" si="14"/>
        <v>Thursday</v>
      </c>
      <c r="C30" s="59"/>
      <c r="D30" s="95" t="s">
        <v>69</v>
      </c>
      <c r="E30" s="8" t="s">
        <v>36</v>
      </c>
      <c r="F30" s="6" t="s">
        <v>118</v>
      </c>
      <c r="G30" s="47" t="s">
        <v>239</v>
      </c>
      <c r="H30" s="9">
        <f t="shared" si="0"/>
        <v>12.04454927407276</v>
      </c>
      <c r="I30" s="9">
        <f t="shared" si="1"/>
        <v>6.17885155121702</v>
      </c>
      <c r="J30" s="9">
        <f t="shared" si="2"/>
        <v>0.3131538283612807</v>
      </c>
      <c r="K30" s="9">
        <f t="shared" si="3"/>
        <v>0.428851551217021</v>
      </c>
      <c r="L30" s="9">
        <f t="shared" si="4"/>
        <v>0.5445492740727613</v>
      </c>
      <c r="M30" s="9">
        <f t="shared" si="5"/>
        <v>0.6602469969285016</v>
      </c>
      <c r="N30" s="9">
        <f t="shared" si="6"/>
        <v>0.775944719784242</v>
      </c>
      <c r="O30" s="9">
        <f t="shared" si="7"/>
        <v>0.9102469969285016</v>
      </c>
      <c r="P30" s="9">
        <f>sunrise(Location!$B$4,Location!$B$5,Location!$B$6,10,A30,Location!$B$7,IF(Location!$B$8="No",0,1))</f>
        <v>0.3131538283612807</v>
      </c>
      <c r="Q30" s="9">
        <f>sunset(Location!$B$4,Location!$B$5,Location!$B$6,10,A30,Location!$B$7,IF(Location!$B$8="No",0,1))</f>
        <v>0.775944719784242</v>
      </c>
      <c r="R30" s="9">
        <f t="shared" si="8"/>
        <v>0.46279089142296126</v>
      </c>
      <c r="S30" s="10">
        <f t="shared" si="9"/>
        <v>0.03856590761858011</v>
      </c>
      <c r="T30" s="9">
        <f t="shared" si="10"/>
        <v>23.537209108577038</v>
      </c>
      <c r="U30" s="10">
        <f t="shared" si="11"/>
        <v>0.04476742571475322</v>
      </c>
    </row>
    <row r="31" spans="1:21" ht="12.75">
      <c r="A31" s="5">
        <v>29</v>
      </c>
      <c r="B31" s="6" t="str">
        <f>B3</f>
        <v>Friday</v>
      </c>
      <c r="C31" s="59"/>
      <c r="D31" s="7"/>
      <c r="E31" s="8" t="s">
        <v>17</v>
      </c>
      <c r="F31" s="6" t="s">
        <v>119</v>
      </c>
      <c r="G31" s="130"/>
      <c r="H31" s="9">
        <f t="shared" si="0"/>
        <v>12.04450235105352</v>
      </c>
      <c r="I31" s="9">
        <f t="shared" si="1"/>
        <v>6.179079878464462</v>
      </c>
      <c r="J31" s="9">
        <f t="shared" si="2"/>
        <v>0.3136574058754032</v>
      </c>
      <c r="K31" s="9">
        <f t="shared" si="3"/>
        <v>0.4290798784644616</v>
      </c>
      <c r="L31" s="9">
        <f t="shared" si="4"/>
        <v>0.54450235105352</v>
      </c>
      <c r="M31" s="9">
        <f t="shared" si="5"/>
        <v>0.6599248236425783</v>
      </c>
      <c r="N31" s="9">
        <f t="shared" si="6"/>
        <v>0.7753472962316367</v>
      </c>
      <c r="O31" s="9">
        <f t="shared" si="7"/>
        <v>0.9099248236425783</v>
      </c>
      <c r="P31" s="9">
        <f>sunrise(Location!$B$4,Location!$B$5,Location!$B$6,10,A31,Location!$B$7,IF(Location!$B$8="No",0,1))</f>
        <v>0.3136574058754032</v>
      </c>
      <c r="Q31" s="9">
        <f>sunset(Location!$B$4,Location!$B$5,Location!$B$6,10,A31,Location!$B$7,IF(Location!$B$8="No",0,1))</f>
        <v>0.7753472962316367</v>
      </c>
      <c r="R31" s="9">
        <f t="shared" si="8"/>
        <v>0.4616898903562335</v>
      </c>
      <c r="S31" s="10">
        <f t="shared" si="9"/>
        <v>0.03847415752968612</v>
      </c>
      <c r="T31" s="9">
        <f t="shared" si="10"/>
        <v>23.538310109643767</v>
      </c>
      <c r="U31" s="10">
        <f t="shared" si="11"/>
        <v>0.044859175803647205</v>
      </c>
    </row>
    <row r="32" spans="1:21" ht="12.75">
      <c r="A32" s="5">
        <v>30</v>
      </c>
      <c r="B32" s="6" t="str">
        <f>B4</f>
        <v>Saturday</v>
      </c>
      <c r="C32" s="59"/>
      <c r="D32" s="95" t="s">
        <v>72</v>
      </c>
      <c r="E32" s="8" t="s">
        <v>21</v>
      </c>
      <c r="F32" s="6" t="s">
        <v>120</v>
      </c>
      <c r="G32" s="130"/>
      <c r="H32" s="9">
        <f t="shared" si="0"/>
        <v>12.044464546670447</v>
      </c>
      <c r="I32" s="9">
        <f t="shared" si="1"/>
        <v>6.179315167456981</v>
      </c>
      <c r="J32" s="9">
        <f t="shared" si="2"/>
        <v>0.31416578824351366</v>
      </c>
      <c r="K32" s="9">
        <f t="shared" si="3"/>
        <v>0.42931516745698095</v>
      </c>
      <c r="L32" s="9">
        <f t="shared" si="4"/>
        <v>0.5444645466704483</v>
      </c>
      <c r="M32" s="9">
        <f t="shared" si="5"/>
        <v>0.6596139258839155</v>
      </c>
      <c r="N32" s="9">
        <f t="shared" si="6"/>
        <v>0.7747633050973829</v>
      </c>
      <c r="O32" s="9">
        <f t="shared" si="7"/>
        <v>0.9096139258839155</v>
      </c>
      <c r="P32" s="9">
        <f>sunrise(Location!$B$4,Location!$B$5,Location!$B$6,10,A32,Location!$B$7,IF(Location!$B$8="No",0,1))</f>
        <v>0.31416578824351366</v>
      </c>
      <c r="Q32" s="9">
        <f>sunset(Location!$B$4,Location!$B$5,Location!$B$6,10,A32,Location!$B$7,IF(Location!$B$8="No",0,1))</f>
        <v>0.7747633050973829</v>
      </c>
      <c r="R32" s="9">
        <f t="shared" si="8"/>
        <v>0.46059751685386924</v>
      </c>
      <c r="S32" s="10">
        <f t="shared" si="9"/>
        <v>0.038383126404489105</v>
      </c>
      <c r="T32" s="9">
        <f t="shared" si="10"/>
        <v>23.53940248314613</v>
      </c>
      <c r="U32" s="10">
        <f t="shared" si="11"/>
        <v>0.04495020692884422</v>
      </c>
    </row>
    <row r="33" spans="1:21" ht="12.75">
      <c r="A33" s="5">
        <v>31</v>
      </c>
      <c r="B33" s="6" t="str">
        <f>B5</f>
        <v>Sunday</v>
      </c>
      <c r="C33" s="59"/>
      <c r="D33" s="95" t="s">
        <v>75</v>
      </c>
      <c r="E33" s="8" t="s">
        <v>24</v>
      </c>
      <c r="F33" s="6" t="s">
        <v>78</v>
      </c>
      <c r="G33" s="134" t="s">
        <v>310</v>
      </c>
      <c r="H33" s="9">
        <f t="shared" si="0"/>
        <v>12.044435989549608</v>
      </c>
      <c r="I33" s="9">
        <f t="shared" si="1"/>
        <v>6.179557451478794</v>
      </c>
      <c r="J33" s="9">
        <f t="shared" si="2"/>
        <v>0.3146789134079788</v>
      </c>
      <c r="K33" s="9">
        <f t="shared" si="3"/>
        <v>0.4295574514787933</v>
      </c>
      <c r="L33" s="9">
        <f t="shared" si="4"/>
        <v>0.5444359895496078</v>
      </c>
      <c r="M33" s="9">
        <f t="shared" si="5"/>
        <v>0.6593145276204224</v>
      </c>
      <c r="N33" s="9">
        <f t="shared" si="6"/>
        <v>0.7741930656912369</v>
      </c>
      <c r="O33" s="9">
        <f t="shared" si="7"/>
        <v>0.9093145276204224</v>
      </c>
      <c r="P33" s="9">
        <f>sunrise(Location!$B$4,Location!$B$5,Location!$B$6,10,A33,Location!$B$7,IF(Location!$B$8="No",0,1))</f>
        <v>0.3146789134079788</v>
      </c>
      <c r="Q33" s="9">
        <f>sunset(Location!$B$4,Location!$B$5,Location!$B$6,10,A33,Location!$B$7,IF(Location!$B$8="No",0,1))</f>
        <v>0.7741930656912369</v>
      </c>
      <c r="R33" s="9">
        <f t="shared" si="8"/>
        <v>0.4595141522832581</v>
      </c>
      <c r="S33" s="10">
        <f t="shared" si="9"/>
        <v>0.03829284602360484</v>
      </c>
      <c r="T33" s="9">
        <f t="shared" si="10"/>
        <v>23.54048584771674</v>
      </c>
      <c r="U33" s="10">
        <f t="shared" si="11"/>
        <v>0.04504048730972849</v>
      </c>
    </row>
    <row r="35" ht="12.75">
      <c r="A35" s="6"/>
    </row>
    <row r="36" ht="12.75">
      <c r="D36" s="53"/>
    </row>
    <row r="37" spans="3:5" ht="12.75">
      <c r="C37" s="58" t="str">
        <f>IF(Location!B9="No",Location!C13,Location!C14)</f>
        <v>C</v>
      </c>
      <c r="E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U37"/>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4" width="3.7109375" style="4" customWidth="1"/>
    <col min="5" max="5" width="4.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171</v>
      </c>
      <c r="B1" s="122"/>
      <c r="C1" s="122"/>
      <c r="D1" s="122"/>
      <c r="E1" s="127"/>
      <c r="F1" s="123" t="str">
        <f>ROMAN(Location!$B$6)</f>
        <v>MMX</v>
      </c>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October!B27</f>
        <v>Monday</v>
      </c>
      <c r="C3" s="59"/>
      <c r="D3" s="7"/>
      <c r="E3" s="8" t="s">
        <v>26</v>
      </c>
      <c r="F3" s="6" t="s">
        <v>18</v>
      </c>
      <c r="G3" s="44" t="s">
        <v>147</v>
      </c>
      <c r="H3" s="9">
        <f aca="true" t="shared" si="0" ref="H3:H32">(T3/2)+Q3-"12:00:00"</f>
        <v>12.044416799441818</v>
      </c>
      <c r="I3" s="9">
        <f aca="true" t="shared" si="1" ref="I3:I32">H3+((J3-H3)/2)</f>
        <v>6.179806752578335</v>
      </c>
      <c r="J3" s="9">
        <f aca="true" t="shared" si="2" ref="J3:J32">P3</f>
        <v>0.315196705714853</v>
      </c>
      <c r="K3" s="9">
        <f aca="true" t="shared" si="3" ref="K3:K32">J3+((L3-J3)/2)</f>
        <v>0.4298067525783351</v>
      </c>
      <c r="L3" s="9">
        <f aca="true" t="shared" si="4" ref="L3:L32">(R3/2)+J3</f>
        <v>0.5444167994418173</v>
      </c>
      <c r="M3" s="9">
        <f aca="true" t="shared" si="5" ref="M3:M32">((N3-L3)/2)+L3</f>
        <v>0.6590268463052995</v>
      </c>
      <c r="N3" s="9">
        <f aca="true" t="shared" si="6" ref="N3:N32">Q3</f>
        <v>0.7736368931687816</v>
      </c>
      <c r="O3" s="9">
        <f aca="true" t="shared" si="7" ref="O3:O32">3*U3+N3</f>
        <v>0.9090268463052994</v>
      </c>
      <c r="P3" s="9">
        <f>sunrise(Location!$B$4,Location!$B$5,Location!$B$6,11,A3,Location!$B$7,IF(Location!$B$8="No",0,IF(B3="Sunday",0,1)))</f>
        <v>0.315196705714853</v>
      </c>
      <c r="Q3" s="9">
        <f>sunset(Location!$B$4,Location!$B$5,Location!$B$6,11,A3,Location!$B$7,IF(Location!$B$8="No",0,IF(B3="Sunday",0,1)))</f>
        <v>0.7736368931687816</v>
      </c>
      <c r="R3" s="9">
        <f aca="true" t="shared" si="8" ref="R3:R32">Q3-P3</f>
        <v>0.4584401874539286</v>
      </c>
      <c r="S3" s="10">
        <f aca="true" t="shared" si="9" ref="S3:S32">R3/12</f>
        <v>0.03820334895449405</v>
      </c>
      <c r="T3" s="9">
        <f aca="true" t="shared" si="10" ref="T3:T32">(24-(Q3-P3))</f>
        <v>23.541559812546073</v>
      </c>
      <c r="U3" s="10">
        <f aca="true" t="shared" si="11" ref="U3:U32">"1:00:00"-S3+"1:00:00"</f>
        <v>0.04512998437883928</v>
      </c>
    </row>
    <row r="4" spans="1:21" ht="12.75">
      <c r="A4" s="5">
        <v>2</v>
      </c>
      <c r="B4" s="6" t="str">
        <f>October!B28</f>
        <v>Tuesday</v>
      </c>
      <c r="C4" s="59"/>
      <c r="D4" s="95" t="s">
        <v>20</v>
      </c>
      <c r="E4" s="8" t="s">
        <v>29</v>
      </c>
      <c r="F4" s="6" t="s">
        <v>93</v>
      </c>
      <c r="G4" s="130"/>
      <c r="H4" s="9">
        <f t="shared" si="0"/>
        <v>12.044407086865913</v>
      </c>
      <c r="I4" s="9">
        <f t="shared" si="1"/>
        <v>6.180063081220713</v>
      </c>
      <c r="J4" s="9">
        <f t="shared" si="2"/>
        <v>0.3157190755755138</v>
      </c>
      <c r="K4" s="9">
        <f t="shared" si="3"/>
        <v>0.43006308122071363</v>
      </c>
      <c r="L4" s="9">
        <f t="shared" si="4"/>
        <v>0.5444070868659134</v>
      </c>
      <c r="M4" s="9">
        <f t="shared" si="5"/>
        <v>0.6587510925111133</v>
      </c>
      <c r="N4" s="9">
        <f t="shared" si="6"/>
        <v>0.773095098156313</v>
      </c>
      <c r="O4" s="9">
        <f t="shared" si="7"/>
        <v>0.9087510925111133</v>
      </c>
      <c r="P4" s="9">
        <f>sunrise(Location!$B$4,Location!$B$5,Location!$B$6,11,A4,Location!$B$7,IF(Location!$B$8="No",0,IF(OR(B4="Sunday",B4="Monday"),0,1)))</f>
        <v>0.3157190755755138</v>
      </c>
      <c r="Q4" s="9">
        <f>sunset(Location!$B$4,Location!$B$5,Location!$B$6,11,A4,Location!$B$7,IF(Location!$B$8="No",0,IF(OR(B4="Sunday",B4="Monday"),0,1)))</f>
        <v>0.773095098156313</v>
      </c>
      <c r="R4" s="9">
        <f t="shared" si="8"/>
        <v>0.45737602258079924</v>
      </c>
      <c r="S4" s="10">
        <f t="shared" si="9"/>
        <v>0.038114668548399934</v>
      </c>
      <c r="T4" s="9">
        <f t="shared" si="10"/>
        <v>23.5426239774192</v>
      </c>
      <c r="U4" s="10">
        <f t="shared" si="11"/>
        <v>0.045218664784933395</v>
      </c>
    </row>
    <row r="5" spans="1:21" ht="12.75">
      <c r="A5" s="5">
        <v>3</v>
      </c>
      <c r="B5" s="6" t="str">
        <f>October!B29</f>
        <v>Wednesday</v>
      </c>
      <c r="C5" s="59"/>
      <c r="D5" s="7"/>
      <c r="E5" s="8" t="s">
        <v>32</v>
      </c>
      <c r="F5" s="6" t="s">
        <v>94</v>
      </c>
      <c r="G5" s="130"/>
      <c r="H5" s="9">
        <f t="shared" si="0"/>
        <v>12.044406952758326</v>
      </c>
      <c r="I5" s="9">
        <f t="shared" si="1"/>
        <v>6.180326435953723</v>
      </c>
      <c r="J5" s="9">
        <f t="shared" si="2"/>
        <v>0.3162459191491195</v>
      </c>
      <c r="K5" s="9">
        <f t="shared" si="3"/>
        <v>0.43032643595372244</v>
      </c>
      <c r="L5" s="9">
        <f t="shared" si="4"/>
        <v>0.5444069527583254</v>
      </c>
      <c r="M5" s="9">
        <f t="shared" si="5"/>
        <v>0.6584874695629284</v>
      </c>
      <c r="N5" s="9">
        <f t="shared" si="6"/>
        <v>0.7725679863675313</v>
      </c>
      <c r="O5" s="9">
        <f t="shared" si="7"/>
        <v>0.9084874695629284</v>
      </c>
      <c r="P5" s="9">
        <f>sunrise(Location!$B$4,Location!$B$5,Location!$B$6,11,A5,Location!$B$7,IF(Location!$B$8="No",0,IF(OR(B5="Sunday",B5="Monday",B5="Tuesday"),0,1)))</f>
        <v>0.3162459191491195</v>
      </c>
      <c r="Q5" s="9">
        <f>sunset(Location!$B$4,Location!$B$5,Location!$B$6,11,A5,Location!$B$7,IF(Location!$B$8="No",0,IF(OR(B5="Sunday",B5="Monday",B5="Tuesday"),0,1)))</f>
        <v>0.7725679863675313</v>
      </c>
      <c r="R5" s="9">
        <f t="shared" si="8"/>
        <v>0.45632206721841184</v>
      </c>
      <c r="S5" s="10">
        <f t="shared" si="9"/>
        <v>0.038026838934867656</v>
      </c>
      <c r="T5" s="9">
        <f t="shared" si="10"/>
        <v>23.543677932781588</v>
      </c>
      <c r="U5" s="10">
        <f t="shared" si="11"/>
        <v>0.04530649439846567</v>
      </c>
    </row>
    <row r="6" spans="1:21" ht="12.75">
      <c r="A6" s="5">
        <v>4</v>
      </c>
      <c r="B6" s="6" t="str">
        <f>October!B30</f>
        <v>Thursday</v>
      </c>
      <c r="C6" s="59"/>
      <c r="D6" s="95" t="s">
        <v>23</v>
      </c>
      <c r="E6" s="8" t="s">
        <v>36</v>
      </c>
      <c r="F6" s="6" t="s">
        <v>27</v>
      </c>
      <c r="G6" s="130"/>
      <c r="H6" s="9">
        <f t="shared" si="0"/>
        <v>12.044416488132494</v>
      </c>
      <c r="I6" s="9">
        <f t="shared" si="1"/>
        <v>6.180596803092694</v>
      </c>
      <c r="J6" s="9">
        <f t="shared" si="2"/>
        <v>0.316777118052893</v>
      </c>
      <c r="K6" s="9">
        <f t="shared" si="3"/>
        <v>0.43059680309269416</v>
      </c>
      <c r="L6" s="9">
        <f t="shared" si="4"/>
        <v>0.5444164881324953</v>
      </c>
      <c r="M6" s="9">
        <f t="shared" si="5"/>
        <v>0.6582361731722965</v>
      </c>
      <c r="N6" s="9">
        <f t="shared" si="6"/>
        <v>0.7720558582120977</v>
      </c>
      <c r="O6" s="9">
        <f t="shared" si="7"/>
        <v>0.9082361731722965</v>
      </c>
      <c r="P6" s="9">
        <f>sunrise(Location!$B$4,Location!$B$5,Location!$B$6,11,A6,Location!$B$7,IF(Location!$B$8="No",0,IF(OR(B6="Sunday",B6="Monday",B6="Tuesday",B6="Wednesday"),0,1)))</f>
        <v>0.316777118052893</v>
      </c>
      <c r="Q6" s="9">
        <f>sunset(Location!$B$4,Location!$B$5,Location!$B$6,11,A6,Location!$B$7,IF(Location!$B$8="No",0,IF(OR(B6="Sunday",B6="Monday",B6="Tuesday",B6="Wednesday"),0,1)))</f>
        <v>0.7720558582120977</v>
      </c>
      <c r="R6" s="9">
        <f t="shared" si="8"/>
        <v>0.45527874015920466</v>
      </c>
      <c r="S6" s="10">
        <f t="shared" si="9"/>
        <v>0.037939895013267055</v>
      </c>
      <c r="T6" s="9">
        <f t="shared" si="10"/>
        <v>23.544721259840795</v>
      </c>
      <c r="U6" s="10">
        <f t="shared" si="11"/>
        <v>0.04539343832006627</v>
      </c>
    </row>
    <row r="7" spans="1:21" ht="12.75">
      <c r="A7" s="5">
        <v>5</v>
      </c>
      <c r="B7" s="6" t="str">
        <f>October!B31</f>
        <v>Friday</v>
      </c>
      <c r="C7" s="59"/>
      <c r="D7" s="95" t="s">
        <v>28</v>
      </c>
      <c r="E7" s="8" t="s">
        <v>17</v>
      </c>
      <c r="F7" s="6" t="s">
        <v>30</v>
      </c>
      <c r="G7" s="130"/>
      <c r="H7" s="9">
        <f t="shared" si="0"/>
        <v>12.044435773746038</v>
      </c>
      <c r="I7" s="9">
        <f t="shared" si="1"/>
        <v>6.180874156421424</v>
      </c>
      <c r="J7" s="9">
        <f t="shared" si="2"/>
        <v>0.31731253909680945</v>
      </c>
      <c r="K7" s="9">
        <f t="shared" si="3"/>
        <v>0.4308741564214237</v>
      </c>
      <c r="L7" s="9">
        <f t="shared" si="4"/>
        <v>0.5444357737460379</v>
      </c>
      <c r="M7" s="9">
        <f t="shared" si="5"/>
        <v>0.657997391070652</v>
      </c>
      <c r="N7" s="9">
        <f t="shared" si="6"/>
        <v>0.7715590083952663</v>
      </c>
      <c r="O7" s="9">
        <f t="shared" si="7"/>
        <v>0.907997391070652</v>
      </c>
      <c r="P7" s="9">
        <f>sunrise(Location!$B$4,Location!$B$5,Location!$B$6,11,A7,Location!$B$7,IF(Location!$B$8="No",0,IF(OR(B7="Sunday",B7="Monday",B7="Tuesday",B7="Wednesday",B7="Thursday"),0,1)))</f>
        <v>0.31731253909680945</v>
      </c>
      <c r="Q7" s="9">
        <f>sunset(Location!$B$4,Location!$B$5,Location!$B$6,11,A7,Location!$B$7,IF(Location!$B$8="No",0,IF(OR(B7="Sunday",B7="Monday",B7="Tuesday",B7="Wednesday",B7="Thursday"),0,1)))</f>
        <v>0.7715590083952663</v>
      </c>
      <c r="R7" s="9">
        <f t="shared" si="8"/>
        <v>0.4542464692984568</v>
      </c>
      <c r="S7" s="10">
        <f t="shared" si="9"/>
        <v>0.03785387244153807</v>
      </c>
      <c r="T7" s="9">
        <f t="shared" si="10"/>
        <v>23.545753530701543</v>
      </c>
      <c r="U7" s="10">
        <f t="shared" si="11"/>
        <v>0.04547946089179526</v>
      </c>
    </row>
    <row r="8" spans="1:21" ht="12.75">
      <c r="A8" s="5">
        <v>6</v>
      </c>
      <c r="B8" s="6" t="str">
        <f>October!B32</f>
        <v>Saturday</v>
      </c>
      <c r="C8" s="59"/>
      <c r="D8" s="7"/>
      <c r="E8" s="8" t="s">
        <v>21</v>
      </c>
      <c r="F8" s="6" t="s">
        <v>95</v>
      </c>
      <c r="G8" s="130"/>
      <c r="H8" s="9">
        <f t="shared" si="0"/>
        <v>12.044464879780437</v>
      </c>
      <c r="I8" s="9">
        <f t="shared" si="1"/>
        <v>6.181158456915955</v>
      </c>
      <c r="J8" s="9">
        <f t="shared" si="2"/>
        <v>0.3178520340514723</v>
      </c>
      <c r="K8" s="9">
        <f t="shared" si="3"/>
        <v>0.43115845691595356</v>
      </c>
      <c r="L8" s="9">
        <f t="shared" si="4"/>
        <v>0.5444648797804349</v>
      </c>
      <c r="M8" s="9">
        <f t="shared" si="5"/>
        <v>0.6577713026449162</v>
      </c>
      <c r="N8" s="9">
        <f t="shared" si="6"/>
        <v>0.7710777255093976</v>
      </c>
      <c r="O8" s="9">
        <f t="shared" si="7"/>
        <v>0.9077713026449162</v>
      </c>
      <c r="P8" s="9">
        <f>sunrise(Location!$B$4,Location!$B$5,Location!$B$6,11,A8,Location!$B$7,IF(Location!$B$8="No",0,IF(OR(B8="Sunday",B8="Monday",B8="Tuesday",B8="Wednesday",B8="Thursday",B8="Friday"),0,1)))</f>
        <v>0.3178520340514723</v>
      </c>
      <c r="Q8" s="9">
        <f>sunset(Location!$B$4,Location!$B$5,Location!$B$6,11,A8,Location!$B$7,IF(Location!$B$8="No",0,IF(OR(B8="Sunday",B8="Monday",B8="Tuesday",B8="Wednesday",B8="Thursday",B8="Friday"),0,1)))</f>
        <v>0.7710777255093976</v>
      </c>
      <c r="R8" s="9">
        <f t="shared" si="8"/>
        <v>0.4532256914579253</v>
      </c>
      <c r="S8" s="10">
        <f t="shared" si="9"/>
        <v>0.037768807621493775</v>
      </c>
      <c r="T8" s="9">
        <f t="shared" si="10"/>
        <v>23.546774308542076</v>
      </c>
      <c r="U8" s="10">
        <f t="shared" si="11"/>
        <v>0.045564525711839554</v>
      </c>
    </row>
    <row r="9" spans="1:21" ht="12.75">
      <c r="A9" s="5">
        <v>7</v>
      </c>
      <c r="B9" s="6" t="str">
        <f>October!B33</f>
        <v>Sunday</v>
      </c>
      <c r="C9" s="59"/>
      <c r="D9" s="95" t="s">
        <v>35</v>
      </c>
      <c r="E9" s="8" t="s">
        <v>24</v>
      </c>
      <c r="F9" s="6" t="s">
        <v>96</v>
      </c>
      <c r="G9" s="134" t="s">
        <v>313</v>
      </c>
      <c r="H9" s="9">
        <f t="shared" si="0"/>
        <v>12.023670532198048</v>
      </c>
      <c r="I9" s="9">
        <f t="shared" si="1"/>
        <v>6.150199652487137</v>
      </c>
      <c r="J9" s="9">
        <f t="shared" si="2"/>
        <v>0.2767287727762247</v>
      </c>
      <c r="K9" s="9">
        <f t="shared" si="3"/>
        <v>0.4001996524871365</v>
      </c>
      <c r="L9" s="9">
        <f t="shared" si="4"/>
        <v>0.5236705321980484</v>
      </c>
      <c r="M9" s="9">
        <f t="shared" si="5"/>
        <v>0.6471414119089602</v>
      </c>
      <c r="N9" s="9">
        <f t="shared" si="6"/>
        <v>0.770612291619872</v>
      </c>
      <c r="O9" s="9">
        <f t="shared" si="7"/>
        <v>0.8971414119089601</v>
      </c>
      <c r="P9" s="9">
        <f>sunrise(Location!$B$4,Location!$B$5,Location!$B$6,11,A9,Location!$B$7,0)</f>
        <v>0.2767287727762247</v>
      </c>
      <c r="Q9" s="9">
        <f>sunset(Location!$B$4,Location!$B$5,Location!$B$6,11,A9,Location!$B$7,IF(Location!$B$8="No",0,1))</f>
        <v>0.770612291619872</v>
      </c>
      <c r="R9" s="9">
        <f t="shared" si="8"/>
        <v>0.4938835188436473</v>
      </c>
      <c r="S9" s="10">
        <f t="shared" si="9"/>
        <v>0.041156959903637276</v>
      </c>
      <c r="T9" s="9">
        <f t="shared" si="10"/>
        <v>23.506116481156354</v>
      </c>
      <c r="U9" s="10">
        <f t="shared" si="11"/>
        <v>0.04217637342969605</v>
      </c>
    </row>
    <row r="10" spans="1:21" ht="12.75">
      <c r="A10" s="5">
        <v>8</v>
      </c>
      <c r="B10" s="6" t="str">
        <f aca="true" t="shared" si="12" ref="B10:B16">B3</f>
        <v>Monday</v>
      </c>
      <c r="C10" s="59"/>
      <c r="D10" s="95" t="s">
        <v>38</v>
      </c>
      <c r="E10" s="8" t="s">
        <v>26</v>
      </c>
      <c r="F10" s="6" t="s">
        <v>97</v>
      </c>
      <c r="G10" s="130"/>
      <c r="H10" s="9">
        <f t="shared" si="0"/>
        <v>12.002886112447962</v>
      </c>
      <c r="I10" s="9">
        <f t="shared" si="1"/>
        <v>6.140081011083747</v>
      </c>
      <c r="J10" s="9">
        <f t="shared" si="2"/>
        <v>0.277275909719532</v>
      </c>
      <c r="K10" s="9">
        <f t="shared" si="3"/>
        <v>0.39008101108374743</v>
      </c>
      <c r="L10" s="9">
        <f t="shared" si="4"/>
        <v>0.5028861124479629</v>
      </c>
      <c r="M10" s="9">
        <f t="shared" si="5"/>
        <v>0.6156912138121784</v>
      </c>
      <c r="N10" s="9">
        <f t="shared" si="6"/>
        <v>0.7284963151763939</v>
      </c>
      <c r="O10" s="9">
        <f t="shared" si="7"/>
        <v>0.8656912138121784</v>
      </c>
      <c r="P10" s="9">
        <f>sunrise(Location!$B$4,Location!$B$5,Location!$B$6,11,A10,Location!$B$7,0)</f>
        <v>0.277275909719532</v>
      </c>
      <c r="Q10" s="9">
        <f>sunset(Location!$B$4,Location!$B$5,Location!$B$6,11,A10,Location!$B$7,0)</f>
        <v>0.7284963151763939</v>
      </c>
      <c r="R10" s="9">
        <f t="shared" si="8"/>
        <v>0.45122040545686193</v>
      </c>
      <c r="S10" s="10">
        <f t="shared" si="9"/>
        <v>0.03760170045473849</v>
      </c>
      <c r="T10" s="9">
        <f t="shared" si="10"/>
        <v>23.548779594543138</v>
      </c>
      <c r="U10" s="10">
        <f t="shared" si="11"/>
        <v>0.04573163287859484</v>
      </c>
    </row>
    <row r="11" spans="1:21" ht="12.75">
      <c r="A11" s="5">
        <v>9</v>
      </c>
      <c r="B11" s="6" t="str">
        <f t="shared" si="12"/>
        <v>Tuesday</v>
      </c>
      <c r="C11" s="59"/>
      <c r="D11" s="7"/>
      <c r="E11" s="8" t="s">
        <v>29</v>
      </c>
      <c r="F11" s="6" t="s">
        <v>98</v>
      </c>
      <c r="G11" s="130"/>
      <c r="H11" s="9">
        <f t="shared" si="0"/>
        <v>12.00294499051749</v>
      </c>
      <c r="I11" s="9">
        <f t="shared" si="1"/>
        <v>6.1403857871506995</v>
      </c>
      <c r="J11" s="9">
        <f t="shared" si="2"/>
        <v>0.27782658378390895</v>
      </c>
      <c r="K11" s="9">
        <f t="shared" si="3"/>
        <v>0.3903857871506986</v>
      </c>
      <c r="L11" s="9">
        <f t="shared" si="4"/>
        <v>0.5029449905174883</v>
      </c>
      <c r="M11" s="9">
        <f t="shared" si="5"/>
        <v>0.615504193884278</v>
      </c>
      <c r="N11" s="9">
        <f t="shared" si="6"/>
        <v>0.7280633972510676</v>
      </c>
      <c r="O11" s="9">
        <f t="shared" si="7"/>
        <v>0.8655041938842779</v>
      </c>
      <c r="P11" s="9">
        <f>sunrise(Location!$B$4,Location!$B$5,Location!$B$6,11,A11,Location!$B$7,0)</f>
        <v>0.27782658378390895</v>
      </c>
      <c r="Q11" s="9">
        <f>sunset(Location!$B$4,Location!$B$5,Location!$B$6,11,A11,Location!$B$7,0)</f>
        <v>0.7280633972510676</v>
      </c>
      <c r="R11" s="9">
        <f t="shared" si="8"/>
        <v>0.45023681346715866</v>
      </c>
      <c r="S11" s="10">
        <f t="shared" si="9"/>
        <v>0.03751973445559655</v>
      </c>
      <c r="T11" s="9">
        <f t="shared" si="10"/>
        <v>23.549763186532843</v>
      </c>
      <c r="U11" s="10">
        <f t="shared" si="11"/>
        <v>0.045813598877736776</v>
      </c>
    </row>
    <row r="12" spans="1:21" ht="12.75">
      <c r="A12" s="5">
        <v>10</v>
      </c>
      <c r="B12" s="6" t="str">
        <f t="shared" si="12"/>
        <v>Wednesday</v>
      </c>
      <c r="C12" s="59"/>
      <c r="D12" s="95" t="s">
        <v>40</v>
      </c>
      <c r="E12" s="8" t="s">
        <v>32</v>
      </c>
      <c r="F12" s="6" t="s">
        <v>99</v>
      </c>
      <c r="G12" s="130"/>
      <c r="H12" s="9">
        <f t="shared" si="0"/>
        <v>12.003013858001781</v>
      </c>
      <c r="I12" s="9">
        <f t="shared" si="1"/>
        <v>6.140697221449869</v>
      </c>
      <c r="J12" s="9">
        <f t="shared" si="2"/>
        <v>0.2783805848979575</v>
      </c>
      <c r="K12" s="9">
        <f t="shared" si="3"/>
        <v>0.39069722144986907</v>
      </c>
      <c r="L12" s="9">
        <f t="shared" si="4"/>
        <v>0.5030138580017807</v>
      </c>
      <c r="M12" s="9">
        <f t="shared" si="5"/>
        <v>0.6153304945536923</v>
      </c>
      <c r="N12" s="9">
        <f t="shared" si="6"/>
        <v>0.7276471311056039</v>
      </c>
      <c r="O12" s="9">
        <f t="shared" si="7"/>
        <v>0.8653304945536923</v>
      </c>
      <c r="P12" s="9">
        <f>sunrise(Location!$B$4,Location!$B$5,Location!$B$6,11,A12,Location!$B$7,0)</f>
        <v>0.2783805848979575</v>
      </c>
      <c r="Q12" s="9">
        <f>sunset(Location!$B$4,Location!$B$5,Location!$B$6,11,A12,Location!$B$7,0)</f>
        <v>0.7276471311056039</v>
      </c>
      <c r="R12" s="9">
        <f t="shared" si="8"/>
        <v>0.4492665462076464</v>
      </c>
      <c r="S12" s="10">
        <f t="shared" si="9"/>
        <v>0.0374388788506372</v>
      </c>
      <c r="T12" s="9">
        <f t="shared" si="10"/>
        <v>23.550733453792354</v>
      </c>
      <c r="U12" s="10">
        <f t="shared" si="11"/>
        <v>0.04589445448269613</v>
      </c>
    </row>
    <row r="13" spans="1:21" ht="12.75">
      <c r="A13" s="5">
        <v>11</v>
      </c>
      <c r="B13" s="6" t="str">
        <f t="shared" si="12"/>
        <v>Thursday</v>
      </c>
      <c r="C13" s="59"/>
      <c r="D13" s="95" t="s">
        <v>42</v>
      </c>
      <c r="E13" s="8" t="s">
        <v>36</v>
      </c>
      <c r="F13" s="6" t="s">
        <v>101</v>
      </c>
      <c r="G13" s="45" t="s">
        <v>218</v>
      </c>
      <c r="H13" s="9">
        <f t="shared" si="0"/>
        <v>12.003092727856208</v>
      </c>
      <c r="I13" s="9">
        <f t="shared" si="1"/>
        <v>6.141015207575165</v>
      </c>
      <c r="J13" s="9">
        <f t="shared" si="2"/>
        <v>0.27893768729412316</v>
      </c>
      <c r="K13" s="9">
        <f t="shared" si="3"/>
        <v>0.3910152075751655</v>
      </c>
      <c r="L13" s="9">
        <f t="shared" si="4"/>
        <v>0.5030927278562078</v>
      </c>
      <c r="M13" s="9">
        <f t="shared" si="5"/>
        <v>0.6151702481372502</v>
      </c>
      <c r="N13" s="9">
        <f t="shared" si="6"/>
        <v>0.7272477684182925</v>
      </c>
      <c r="O13" s="9">
        <f t="shared" si="7"/>
        <v>0.8651702481372502</v>
      </c>
      <c r="P13" s="9">
        <f>sunrise(Location!$B$4,Location!$B$5,Location!$B$6,11,A13,Location!$B$7,0)</f>
        <v>0.27893768729412316</v>
      </c>
      <c r="Q13" s="9">
        <f>sunset(Location!$B$4,Location!$B$5,Location!$B$6,11,A13,Location!$B$7,0)</f>
        <v>0.7272477684182925</v>
      </c>
      <c r="R13" s="9">
        <f t="shared" si="8"/>
        <v>0.44831008112416937</v>
      </c>
      <c r="S13" s="10">
        <f t="shared" si="9"/>
        <v>0.037359173427014114</v>
      </c>
      <c r="T13" s="9">
        <f t="shared" si="10"/>
        <v>23.55168991887583</v>
      </c>
      <c r="U13" s="10">
        <f t="shared" si="11"/>
        <v>0.045974159906319215</v>
      </c>
    </row>
    <row r="14" spans="1:21" ht="12.75">
      <c r="A14" s="5">
        <v>12</v>
      </c>
      <c r="B14" s="6" t="str">
        <f t="shared" si="12"/>
        <v>Friday</v>
      </c>
      <c r="C14" s="59"/>
      <c r="D14" s="7"/>
      <c r="E14" s="8" t="s">
        <v>17</v>
      </c>
      <c r="F14" s="6" t="s">
        <v>46</v>
      </c>
      <c r="G14" s="130"/>
      <c r="H14" s="9">
        <f t="shared" si="0"/>
        <v>12.003181600834441</v>
      </c>
      <c r="I14" s="9">
        <f t="shared" si="1"/>
        <v>6.141339625163913</v>
      </c>
      <c r="J14" s="9">
        <f t="shared" si="2"/>
        <v>0.2794976494933844</v>
      </c>
      <c r="K14" s="9">
        <f t="shared" si="3"/>
        <v>0.39133962516391235</v>
      </c>
      <c r="L14" s="9">
        <f t="shared" si="4"/>
        <v>0.5031816008344403</v>
      </c>
      <c r="M14" s="9">
        <f t="shared" si="5"/>
        <v>0.6150235765049682</v>
      </c>
      <c r="N14" s="9">
        <f t="shared" si="6"/>
        <v>0.7268655521754961</v>
      </c>
      <c r="O14" s="9">
        <f t="shared" si="7"/>
        <v>0.8650235765049681</v>
      </c>
      <c r="P14" s="9">
        <f>sunrise(Location!$B$4,Location!$B$5,Location!$B$6,11,A14,Location!$B$7,0)</f>
        <v>0.2794976494933844</v>
      </c>
      <c r="Q14" s="9">
        <f>sunset(Location!$B$4,Location!$B$5,Location!$B$6,11,A14,Location!$B$7,0)</f>
        <v>0.7268655521754961</v>
      </c>
      <c r="R14" s="9">
        <f t="shared" si="8"/>
        <v>0.4473679026821117</v>
      </c>
      <c r="S14" s="10">
        <f t="shared" si="9"/>
        <v>0.03728065855684264</v>
      </c>
      <c r="T14" s="9">
        <f t="shared" si="10"/>
        <v>23.55263209731789</v>
      </c>
      <c r="U14" s="10">
        <f t="shared" si="11"/>
        <v>0.046052674776490686</v>
      </c>
    </row>
    <row r="15" spans="1:21" ht="12.75">
      <c r="A15" s="5">
        <v>13</v>
      </c>
      <c r="B15" s="6" t="str">
        <f t="shared" si="12"/>
        <v>Saturday</v>
      </c>
      <c r="C15" s="59"/>
      <c r="D15" s="95" t="s">
        <v>45</v>
      </c>
      <c r="E15" s="8" t="s">
        <v>21</v>
      </c>
      <c r="F15" s="6" t="s">
        <v>47</v>
      </c>
      <c r="G15" s="130"/>
      <c r="H15" s="9">
        <f t="shared" si="0"/>
        <v>12.003280465278552</v>
      </c>
      <c r="I15" s="9">
        <f t="shared" si="1"/>
        <v>6.141670339806235</v>
      </c>
      <c r="J15" s="9">
        <f t="shared" si="2"/>
        <v>0.280060214333918</v>
      </c>
      <c r="K15" s="9">
        <f t="shared" si="3"/>
        <v>0.3916703398062349</v>
      </c>
      <c r="L15" s="9">
        <f t="shared" si="4"/>
        <v>0.5032804652785519</v>
      </c>
      <c r="M15" s="9">
        <f t="shared" si="5"/>
        <v>0.6148905907508688</v>
      </c>
      <c r="N15" s="9">
        <f t="shared" si="6"/>
        <v>0.7265007162231858</v>
      </c>
      <c r="O15" s="9">
        <f t="shared" si="7"/>
        <v>0.8648905907508688</v>
      </c>
      <c r="P15" s="9">
        <f>sunrise(Location!$B$4,Location!$B$5,Location!$B$6,11,A15,Location!$B$7,0)</f>
        <v>0.280060214333918</v>
      </c>
      <c r="Q15" s="9">
        <f>sunset(Location!$B$4,Location!$B$5,Location!$B$6,11,A15,Location!$B$7,0)</f>
        <v>0.7265007162231858</v>
      </c>
      <c r="R15" s="9">
        <f t="shared" si="8"/>
        <v>0.4464405018892678</v>
      </c>
      <c r="S15" s="10">
        <f t="shared" si="9"/>
        <v>0.03720337515743898</v>
      </c>
      <c r="T15" s="9">
        <f t="shared" si="10"/>
        <v>23.553559498110733</v>
      </c>
      <c r="U15" s="10">
        <f t="shared" si="11"/>
        <v>0.046129958175894346</v>
      </c>
    </row>
    <row r="16" spans="1:21" ht="12.75">
      <c r="A16" s="5">
        <v>14</v>
      </c>
      <c r="B16" s="6" t="str">
        <f t="shared" si="12"/>
        <v>Sunday</v>
      </c>
      <c r="C16" s="59"/>
      <c r="D16" s="7"/>
      <c r="E16" s="8" t="s">
        <v>24</v>
      </c>
      <c r="F16" s="6" t="s">
        <v>122</v>
      </c>
      <c r="G16" s="134" t="s">
        <v>314</v>
      </c>
      <c r="H16" s="9">
        <f t="shared" si="0"/>
        <v>12.003389296931095</v>
      </c>
      <c r="I16" s="9">
        <f t="shared" si="1"/>
        <v>6.142007202987658</v>
      </c>
      <c r="J16" s="9">
        <f t="shared" si="2"/>
        <v>0.2806251090442205</v>
      </c>
      <c r="K16" s="9">
        <f t="shared" si="3"/>
        <v>0.3920072029876577</v>
      </c>
      <c r="L16" s="9">
        <f t="shared" si="4"/>
        <v>0.5033892969310949</v>
      </c>
      <c r="M16" s="9">
        <f t="shared" si="5"/>
        <v>0.614771390874532</v>
      </c>
      <c r="N16" s="9">
        <f t="shared" si="6"/>
        <v>0.7261534848179693</v>
      </c>
      <c r="O16" s="9">
        <f t="shared" si="7"/>
        <v>0.864771390874532</v>
      </c>
      <c r="P16" s="9">
        <f>sunrise(Location!$B$4,Location!$B$5,Location!$B$6,11,A16,Location!$B$7,0)</f>
        <v>0.2806251090442205</v>
      </c>
      <c r="Q16" s="9">
        <f>sunset(Location!$B$4,Location!$B$5,Location!$B$6,11,A16,Location!$B$7,0)</f>
        <v>0.7261534848179693</v>
      </c>
      <c r="R16" s="9">
        <f t="shared" si="8"/>
        <v>0.44552837577374876</v>
      </c>
      <c r="S16" s="10">
        <f t="shared" si="9"/>
        <v>0.0371273646478124</v>
      </c>
      <c r="T16" s="9">
        <f t="shared" si="10"/>
        <v>23.554471624226252</v>
      </c>
      <c r="U16" s="10">
        <f t="shared" si="11"/>
        <v>0.04620596868552093</v>
      </c>
    </row>
    <row r="17" spans="1:21" ht="12.75">
      <c r="A17" s="5">
        <v>15</v>
      </c>
      <c r="B17" s="6" t="str">
        <f aca="true" t="shared" si="13" ref="B17:B23">B3</f>
        <v>Monday</v>
      </c>
      <c r="C17" s="59"/>
      <c r="D17" s="95" t="s">
        <v>48</v>
      </c>
      <c r="E17" s="8" t="s">
        <v>26</v>
      </c>
      <c r="F17" s="6" t="s">
        <v>102</v>
      </c>
      <c r="G17" s="130"/>
      <c r="H17" s="9">
        <f t="shared" si="0"/>
        <v>12.003508058768174</v>
      </c>
      <c r="I17" s="9">
        <f t="shared" si="1"/>
        <v>6.1423500520651135</v>
      </c>
      <c r="J17" s="9">
        <f t="shared" si="2"/>
        <v>0.2811920453620531</v>
      </c>
      <c r="K17" s="9">
        <f t="shared" si="3"/>
        <v>0.3923500520651139</v>
      </c>
      <c r="L17" s="9">
        <f t="shared" si="4"/>
        <v>0.5035080587681747</v>
      </c>
      <c r="M17" s="9">
        <f t="shared" si="5"/>
        <v>0.6146660654712355</v>
      </c>
      <c r="N17" s="9">
        <f t="shared" si="6"/>
        <v>0.7258240721742963</v>
      </c>
      <c r="O17" s="9">
        <f t="shared" si="7"/>
        <v>0.8646660654712355</v>
      </c>
      <c r="P17" s="9">
        <f>sunrise(Location!$B$4,Location!$B$5,Location!$B$6,11,A17,Location!$B$7,0)</f>
        <v>0.2811920453620531</v>
      </c>
      <c r="Q17" s="9">
        <f>sunset(Location!$B$4,Location!$B$5,Location!$B$6,11,A17,Location!$B$7,0)</f>
        <v>0.7258240721742963</v>
      </c>
      <c r="R17" s="9">
        <f t="shared" si="8"/>
        <v>0.44463202681224323</v>
      </c>
      <c r="S17" s="10">
        <f t="shared" si="9"/>
        <v>0.03705266890102027</v>
      </c>
      <c r="T17" s="9">
        <f t="shared" si="10"/>
        <v>23.555367973187757</v>
      </c>
      <c r="U17" s="10">
        <f t="shared" si="11"/>
        <v>0.04628066443231306</v>
      </c>
    </row>
    <row r="18" spans="1:21" ht="12.75">
      <c r="A18" s="5">
        <v>16</v>
      </c>
      <c r="B18" s="6" t="str">
        <f t="shared" si="13"/>
        <v>Tuesday</v>
      </c>
      <c r="C18" s="59"/>
      <c r="D18" s="95" t="s">
        <v>50</v>
      </c>
      <c r="E18" s="8" t="s">
        <v>29</v>
      </c>
      <c r="F18" s="6" t="s">
        <v>103</v>
      </c>
      <c r="G18" s="130"/>
      <c r="H18" s="9">
        <f t="shared" si="0"/>
        <v>12.003636700854843</v>
      </c>
      <c r="I18" s="9">
        <f t="shared" si="1"/>
        <v>6.142698710277213</v>
      </c>
      <c r="J18" s="9">
        <f t="shared" si="2"/>
        <v>0.2817607196995843</v>
      </c>
      <c r="K18" s="9">
        <f t="shared" si="3"/>
        <v>0.39269871027721326</v>
      </c>
      <c r="L18" s="9">
        <f t="shared" si="4"/>
        <v>0.5036367008548421</v>
      </c>
      <c r="M18" s="9">
        <f t="shared" si="5"/>
        <v>0.614574691432471</v>
      </c>
      <c r="N18" s="9">
        <f t="shared" si="6"/>
        <v>0.7255126820100999</v>
      </c>
      <c r="O18" s="9">
        <f t="shared" si="7"/>
        <v>0.864574691432471</v>
      </c>
      <c r="P18" s="9">
        <f>sunrise(Location!$B$4,Location!$B$5,Location!$B$6,11,A18,Location!$B$7,0)</f>
        <v>0.2817607196995843</v>
      </c>
      <c r="Q18" s="9">
        <f>sunset(Location!$B$4,Location!$B$5,Location!$B$6,11,A18,Location!$B$7,0)</f>
        <v>0.7255126820100999</v>
      </c>
      <c r="R18" s="9">
        <f t="shared" si="8"/>
        <v>0.44375196231051556</v>
      </c>
      <c r="S18" s="10">
        <f t="shared" si="9"/>
        <v>0.036979330192542965</v>
      </c>
      <c r="T18" s="9">
        <f t="shared" si="10"/>
        <v>23.556248037689485</v>
      </c>
      <c r="U18" s="10">
        <f t="shared" si="11"/>
        <v>0.04635400314079036</v>
      </c>
    </row>
    <row r="19" spans="1:21" ht="12.75">
      <c r="A19" s="5">
        <v>17</v>
      </c>
      <c r="B19" s="6" t="str">
        <f t="shared" si="13"/>
        <v>Wednesday</v>
      </c>
      <c r="C19" s="59"/>
      <c r="D19" s="7"/>
      <c r="E19" s="8" t="s">
        <v>32</v>
      </c>
      <c r="F19" s="6" t="s">
        <v>105</v>
      </c>
      <c r="G19" s="130"/>
      <c r="H19" s="9">
        <f t="shared" si="0"/>
        <v>12.003775160224972</v>
      </c>
      <c r="I19" s="9">
        <f t="shared" si="1"/>
        <v>6.143052986790885</v>
      </c>
      <c r="J19" s="9">
        <f t="shared" si="2"/>
        <v>0.28233081335679944</v>
      </c>
      <c r="K19" s="9">
        <f t="shared" si="3"/>
        <v>0.393052986790886</v>
      </c>
      <c r="L19" s="9">
        <f t="shared" si="4"/>
        <v>0.5037751602249726</v>
      </c>
      <c r="M19" s="9">
        <f t="shared" si="5"/>
        <v>0.6144973336590591</v>
      </c>
      <c r="N19" s="9">
        <f t="shared" si="6"/>
        <v>0.7252195070931458</v>
      </c>
      <c r="O19" s="9">
        <f t="shared" si="7"/>
        <v>0.8644973336590591</v>
      </c>
      <c r="P19" s="9">
        <f>sunrise(Location!$B$4,Location!$B$5,Location!$B$6,11,A19,Location!$B$7,0)</f>
        <v>0.28233081335679944</v>
      </c>
      <c r="Q19" s="9">
        <f>sunset(Location!$B$4,Location!$B$5,Location!$B$6,11,A19,Location!$B$7,0)</f>
        <v>0.7252195070931458</v>
      </c>
      <c r="R19" s="9">
        <f t="shared" si="8"/>
        <v>0.4428886937363463</v>
      </c>
      <c r="S19" s="10">
        <f t="shared" si="9"/>
        <v>0.036907391144695524</v>
      </c>
      <c r="T19" s="9">
        <f t="shared" si="10"/>
        <v>23.557111306263653</v>
      </c>
      <c r="U19" s="10">
        <f t="shared" si="11"/>
        <v>0.046425942188637805</v>
      </c>
    </row>
    <row r="20" spans="1:21" ht="12.75">
      <c r="A20" s="5">
        <v>18</v>
      </c>
      <c r="B20" s="6" t="str">
        <f t="shared" si="13"/>
        <v>Thursday</v>
      </c>
      <c r="C20" s="59"/>
      <c r="D20" s="95" t="s">
        <v>53</v>
      </c>
      <c r="E20" s="8" t="s">
        <v>36</v>
      </c>
      <c r="F20" s="6" t="s">
        <v>107</v>
      </c>
      <c r="G20" s="130"/>
      <c r="H20" s="9">
        <f t="shared" si="0"/>
        <v>12.003923360786013</v>
      </c>
      <c r="I20" s="9">
        <f t="shared" si="1"/>
        <v>6.143412676786064</v>
      </c>
      <c r="J20" s="9">
        <f t="shared" si="2"/>
        <v>0.28290199278611555</v>
      </c>
      <c r="K20" s="9">
        <f t="shared" si="3"/>
        <v>0.3934126767860643</v>
      </c>
      <c r="L20" s="9">
        <f t="shared" si="4"/>
        <v>0.503923360786013</v>
      </c>
      <c r="M20" s="9">
        <f t="shared" si="5"/>
        <v>0.6144340447859618</v>
      </c>
      <c r="N20" s="9">
        <f t="shared" si="6"/>
        <v>0.7249447287859104</v>
      </c>
      <c r="O20" s="9">
        <f t="shared" si="7"/>
        <v>0.8644340447859618</v>
      </c>
      <c r="P20" s="9">
        <f>sunrise(Location!$B$4,Location!$B$5,Location!$B$6,11,A20,Location!$B$7,0)</f>
        <v>0.28290199278611555</v>
      </c>
      <c r="Q20" s="9">
        <f>sunset(Location!$B$4,Location!$B$5,Location!$B$6,11,A20,Location!$B$7,0)</f>
        <v>0.7249447287859104</v>
      </c>
      <c r="R20" s="9">
        <f t="shared" si="8"/>
        <v>0.4420427359997949</v>
      </c>
      <c r="S20" s="10">
        <f t="shared" si="9"/>
        <v>0.03683689466664957</v>
      </c>
      <c r="T20" s="9">
        <f t="shared" si="10"/>
        <v>23.557957264000205</v>
      </c>
      <c r="U20" s="10">
        <f t="shared" si="11"/>
        <v>0.04649643866668376</v>
      </c>
    </row>
    <row r="21" spans="1:21" ht="12.75">
      <c r="A21" s="5">
        <v>19</v>
      </c>
      <c r="B21" s="6" t="str">
        <f t="shared" si="13"/>
        <v>Friday</v>
      </c>
      <c r="C21" s="59"/>
      <c r="D21" s="95" t="s">
        <v>55</v>
      </c>
      <c r="E21" s="8" t="s">
        <v>17</v>
      </c>
      <c r="F21" s="6" t="s">
        <v>108</v>
      </c>
      <c r="G21" s="130"/>
      <c r="H21" s="9">
        <f t="shared" si="0"/>
        <v>12.004081213247641</v>
      </c>
      <c r="I21" s="9">
        <f t="shared" si="1"/>
        <v>6.14377756157477</v>
      </c>
      <c r="J21" s="9">
        <f t="shared" si="2"/>
        <v>0.28347390990189814</v>
      </c>
      <c r="K21" s="9">
        <f t="shared" si="3"/>
        <v>0.3937775615747696</v>
      </c>
      <c r="L21" s="9">
        <f t="shared" si="4"/>
        <v>0.5040812132476411</v>
      </c>
      <c r="M21" s="9">
        <f t="shared" si="5"/>
        <v>0.6143848649205126</v>
      </c>
      <c r="N21" s="9">
        <f t="shared" si="6"/>
        <v>0.7246885165933841</v>
      </c>
      <c r="O21" s="9">
        <f t="shared" si="7"/>
        <v>0.8643848649205126</v>
      </c>
      <c r="P21" s="9">
        <f>sunrise(Location!$B$4,Location!$B$5,Location!$B$6,11,A21,Location!$B$7,0)</f>
        <v>0.28347390990189814</v>
      </c>
      <c r="Q21" s="9">
        <f>sunset(Location!$B$4,Location!$B$5,Location!$B$6,11,A21,Location!$B$7,0)</f>
        <v>0.7246885165933841</v>
      </c>
      <c r="R21" s="9">
        <f t="shared" si="8"/>
        <v>0.44121460669148593</v>
      </c>
      <c r="S21" s="10">
        <f t="shared" si="9"/>
        <v>0.03676788389095716</v>
      </c>
      <c r="T21" s="9">
        <f t="shared" si="10"/>
        <v>23.558785393308515</v>
      </c>
      <c r="U21" s="10">
        <f t="shared" si="11"/>
        <v>0.046565449442376165</v>
      </c>
    </row>
    <row r="22" spans="1:21" ht="12.75">
      <c r="A22" s="5">
        <v>20</v>
      </c>
      <c r="B22" s="6" t="str">
        <f t="shared" si="13"/>
        <v>Saturday</v>
      </c>
      <c r="C22" s="59"/>
      <c r="D22" s="7"/>
      <c r="E22" s="8" t="s">
        <v>21</v>
      </c>
      <c r="F22" s="6" t="s">
        <v>110</v>
      </c>
      <c r="G22" s="46" t="s">
        <v>148</v>
      </c>
      <c r="H22" s="9">
        <f t="shared" si="0"/>
        <v>12.004248615077874</v>
      </c>
      <c r="I22" s="9">
        <f t="shared" si="1"/>
        <v>6.144147408760808</v>
      </c>
      <c r="J22" s="9">
        <f t="shared" si="2"/>
        <v>0.28404620244374157</v>
      </c>
      <c r="K22" s="9">
        <f t="shared" si="3"/>
        <v>0.394147408760808</v>
      </c>
      <c r="L22" s="9">
        <f t="shared" si="4"/>
        <v>0.5042486150778744</v>
      </c>
      <c r="M22" s="9">
        <f t="shared" si="5"/>
        <v>0.614349821394941</v>
      </c>
      <c r="N22" s="9">
        <f t="shared" si="6"/>
        <v>0.7244510277120074</v>
      </c>
      <c r="O22" s="9">
        <f t="shared" si="7"/>
        <v>0.864349821394941</v>
      </c>
      <c r="P22" s="9">
        <f>sunrise(Location!$B$4,Location!$B$5,Location!$B$6,11,A22,Location!$B$7,0)</f>
        <v>0.28404620244374157</v>
      </c>
      <c r="Q22" s="9">
        <f>sunset(Location!$B$4,Location!$B$5,Location!$B$6,11,A22,Location!$B$7,0)</f>
        <v>0.7244510277120074</v>
      </c>
      <c r="R22" s="9">
        <f t="shared" si="8"/>
        <v>0.44040482526826585</v>
      </c>
      <c r="S22" s="10">
        <f t="shared" si="9"/>
        <v>0.03670040210568882</v>
      </c>
      <c r="T22" s="9">
        <f t="shared" si="10"/>
        <v>23.559595174731733</v>
      </c>
      <c r="U22" s="10">
        <f t="shared" si="11"/>
        <v>0.04663293122764451</v>
      </c>
    </row>
    <row r="23" spans="1:21" ht="12.75">
      <c r="A23" s="5">
        <v>21</v>
      </c>
      <c r="B23" s="6" t="str">
        <f t="shared" si="13"/>
        <v>Sunday</v>
      </c>
      <c r="C23" s="59"/>
      <c r="D23" s="95" t="s">
        <v>59</v>
      </c>
      <c r="E23" s="8" t="s">
        <v>24</v>
      </c>
      <c r="F23" s="6" t="s">
        <v>111</v>
      </c>
      <c r="G23" s="67" t="s">
        <v>311</v>
      </c>
      <c r="H23" s="9">
        <f t="shared" si="0"/>
        <v>12.004425450486236</v>
      </c>
      <c r="I23" s="9">
        <f t="shared" si="1"/>
        <v>6.144521972437551</v>
      </c>
      <c r="J23" s="9">
        <f t="shared" si="2"/>
        <v>0.28461849438886583</v>
      </c>
      <c r="K23" s="9">
        <f t="shared" si="3"/>
        <v>0.3945219724375515</v>
      </c>
      <c r="L23" s="9">
        <f t="shared" si="4"/>
        <v>0.5044254504862371</v>
      </c>
      <c r="M23" s="9">
        <f t="shared" si="5"/>
        <v>0.6143289285349227</v>
      </c>
      <c r="N23" s="9">
        <f t="shared" si="6"/>
        <v>0.7242324065836083</v>
      </c>
      <c r="O23" s="9">
        <f t="shared" si="7"/>
        <v>0.8643289285349227</v>
      </c>
      <c r="P23" s="9">
        <f>sunrise(Location!$B$4,Location!$B$5,Location!$B$6,11,A23,Location!$B$7,0)</f>
        <v>0.28461849438886583</v>
      </c>
      <c r="Q23" s="9">
        <f>sunset(Location!$B$4,Location!$B$5,Location!$B$6,11,A23,Location!$B$7,0)</f>
        <v>0.7242324065836083</v>
      </c>
      <c r="R23" s="9">
        <f t="shared" si="8"/>
        <v>0.4396139121947425</v>
      </c>
      <c r="S23" s="10">
        <f t="shared" si="9"/>
        <v>0.03663449268289521</v>
      </c>
      <c r="T23" s="9">
        <f t="shared" si="10"/>
        <v>23.560386087805256</v>
      </c>
      <c r="U23" s="10">
        <f t="shared" si="11"/>
        <v>0.04669884065043812</v>
      </c>
    </row>
    <row r="24" spans="1:21" ht="12.75">
      <c r="A24" s="5">
        <v>22</v>
      </c>
      <c r="B24" s="6" t="str">
        <f aca="true" t="shared" si="14" ref="B24:B30">B3</f>
        <v>Monday</v>
      </c>
      <c r="C24" s="59"/>
      <c r="D24" s="95" t="s">
        <v>61</v>
      </c>
      <c r="E24" s="8" t="s">
        <v>26</v>
      </c>
      <c r="F24" s="6" t="s">
        <v>112</v>
      </c>
      <c r="G24" s="130"/>
      <c r="H24" s="9">
        <f t="shared" si="0"/>
        <v>12.004611590432459</v>
      </c>
      <c r="I24" s="9">
        <f t="shared" si="1"/>
        <v>6.144900993422325</v>
      </c>
      <c r="J24" s="9">
        <f t="shared" si="2"/>
        <v>0.2851903964121899</v>
      </c>
      <c r="K24" s="9">
        <f t="shared" si="3"/>
        <v>0.39490099342232426</v>
      </c>
      <c r="L24" s="9">
        <f t="shared" si="4"/>
        <v>0.5046115904324586</v>
      </c>
      <c r="M24" s="9">
        <f t="shared" si="5"/>
        <v>0.614322187442593</v>
      </c>
      <c r="N24" s="9">
        <f t="shared" si="6"/>
        <v>0.7240327844527273</v>
      </c>
      <c r="O24" s="9">
        <f t="shared" si="7"/>
        <v>0.8643221874425929</v>
      </c>
      <c r="P24" s="9">
        <f>sunrise(Location!$B$4,Location!$B$5,Location!$B$6,11,A24,Location!$B$7,0)</f>
        <v>0.2851903964121899</v>
      </c>
      <c r="Q24" s="9">
        <f>sunset(Location!$B$4,Location!$B$5,Location!$B$6,11,A24,Location!$B$7,0)</f>
        <v>0.7240327844527273</v>
      </c>
      <c r="R24" s="9">
        <f t="shared" si="8"/>
        <v>0.43884238804053743</v>
      </c>
      <c r="S24" s="10">
        <f t="shared" si="9"/>
        <v>0.03657019900337812</v>
      </c>
      <c r="T24" s="9">
        <f t="shared" si="10"/>
        <v>23.561157611959462</v>
      </c>
      <c r="U24" s="10">
        <f t="shared" si="11"/>
        <v>0.04676313432995521</v>
      </c>
    </row>
    <row r="25" spans="1:21" ht="12.75">
      <c r="A25" s="5">
        <v>23</v>
      </c>
      <c r="B25" s="6" t="str">
        <f t="shared" si="14"/>
        <v>Tuesday</v>
      </c>
      <c r="C25" s="59"/>
      <c r="D25" s="7"/>
      <c r="E25" s="8" t="s">
        <v>29</v>
      </c>
      <c r="F25" s="6" t="s">
        <v>113</v>
      </c>
      <c r="G25" s="130"/>
      <c r="H25" s="9">
        <f t="shared" si="0"/>
        <v>12.004806892665265</v>
      </c>
      <c r="I25" s="9">
        <f t="shared" si="1"/>
        <v>6.1452841995318686</v>
      </c>
      <c r="J25" s="9">
        <f t="shared" si="2"/>
        <v>0.285761506398473</v>
      </c>
      <c r="K25" s="9">
        <f t="shared" si="3"/>
        <v>0.39528419953186883</v>
      </c>
      <c r="L25" s="9">
        <f t="shared" si="4"/>
        <v>0.5048068926652647</v>
      </c>
      <c r="M25" s="9">
        <f t="shared" si="5"/>
        <v>0.6143295857986605</v>
      </c>
      <c r="N25" s="9">
        <f t="shared" si="6"/>
        <v>0.7238522789320563</v>
      </c>
      <c r="O25" s="9">
        <f t="shared" si="7"/>
        <v>0.8643295857986604</v>
      </c>
      <c r="P25" s="9">
        <f>sunrise(Location!$B$4,Location!$B$5,Location!$B$6,11,A25,Location!$B$7,0)</f>
        <v>0.285761506398473</v>
      </c>
      <c r="Q25" s="9">
        <f>sunset(Location!$B$4,Location!$B$5,Location!$B$6,11,A25,Location!$B$7,0)</f>
        <v>0.7238522789320563</v>
      </c>
      <c r="R25" s="9">
        <f t="shared" si="8"/>
        <v>0.4380907725335833</v>
      </c>
      <c r="S25" s="10">
        <f t="shared" si="9"/>
        <v>0.03650756437779861</v>
      </c>
      <c r="T25" s="9">
        <f t="shared" si="10"/>
        <v>23.561909227466415</v>
      </c>
      <c r="U25" s="10">
        <f t="shared" si="11"/>
        <v>0.04682576895553472</v>
      </c>
    </row>
    <row r="26" spans="1:21" ht="12.75">
      <c r="A26" s="5">
        <v>24</v>
      </c>
      <c r="B26" s="6" t="str">
        <f t="shared" si="14"/>
        <v>Wednesday</v>
      </c>
      <c r="C26" s="59"/>
      <c r="D26" s="95" t="s">
        <v>64</v>
      </c>
      <c r="E26" s="8" t="s">
        <v>32</v>
      </c>
      <c r="F26" s="6" t="s">
        <v>114</v>
      </c>
      <c r="G26" s="130"/>
      <c r="H26" s="9">
        <f t="shared" si="0"/>
        <v>12.005011201787955</v>
      </c>
      <c r="I26" s="9">
        <f t="shared" si="1"/>
        <v>6.14567130589493</v>
      </c>
      <c r="J26" s="9">
        <f t="shared" si="2"/>
        <v>0.2863314100019044</v>
      </c>
      <c r="K26" s="9">
        <f t="shared" si="3"/>
        <v>0.39567130589492994</v>
      </c>
      <c r="L26" s="9">
        <f t="shared" si="4"/>
        <v>0.5050112017879556</v>
      </c>
      <c r="M26" s="9">
        <f t="shared" si="5"/>
        <v>0.6143510976809812</v>
      </c>
      <c r="N26" s="9">
        <f t="shared" si="6"/>
        <v>0.7236909935740068</v>
      </c>
      <c r="O26" s="9">
        <f t="shared" si="7"/>
        <v>0.8643510976809812</v>
      </c>
      <c r="P26" s="9">
        <f>sunrise(Location!$B$4,Location!$B$5,Location!$B$6,11,A26,Location!$B$7,0)</f>
        <v>0.2863314100019044</v>
      </c>
      <c r="Q26" s="9">
        <f>sunset(Location!$B$4,Location!$B$5,Location!$B$6,11,A26,Location!$B$7,0)</f>
        <v>0.7236909935740068</v>
      </c>
      <c r="R26" s="9">
        <f t="shared" si="8"/>
        <v>0.4373595835721024</v>
      </c>
      <c r="S26" s="10">
        <f t="shared" si="9"/>
        <v>0.03644663196434187</v>
      </c>
      <c r="T26" s="9">
        <f t="shared" si="10"/>
        <v>23.562640416427897</v>
      </c>
      <c r="U26" s="10">
        <f t="shared" si="11"/>
        <v>0.04688670136899146</v>
      </c>
    </row>
    <row r="27" spans="1:21" ht="12.75">
      <c r="A27" s="5">
        <v>25</v>
      </c>
      <c r="B27" s="6" t="str">
        <f t="shared" si="14"/>
        <v>Thursday</v>
      </c>
      <c r="C27" s="59"/>
      <c r="D27" s="95" t="s">
        <v>67</v>
      </c>
      <c r="E27" s="8" t="s">
        <v>36</v>
      </c>
      <c r="F27" s="6" t="s">
        <v>116</v>
      </c>
      <c r="G27" s="130"/>
      <c r="H27" s="9">
        <f t="shared" si="0"/>
        <v>12.005224349353485</v>
      </c>
      <c r="I27" s="9">
        <f t="shared" si="1"/>
        <v>6.146062015303775</v>
      </c>
      <c r="J27" s="9">
        <f t="shared" si="2"/>
        <v>0.2868996812540655</v>
      </c>
      <c r="K27" s="9">
        <f t="shared" si="3"/>
        <v>0.39606201530377494</v>
      </c>
      <c r="L27" s="9">
        <f t="shared" si="4"/>
        <v>0.5052243493534844</v>
      </c>
      <c r="M27" s="9">
        <f t="shared" si="5"/>
        <v>0.6143866834031938</v>
      </c>
      <c r="N27" s="9">
        <f t="shared" si="6"/>
        <v>0.7235490174529032</v>
      </c>
      <c r="O27" s="9">
        <f t="shared" si="7"/>
        <v>0.8643866834031938</v>
      </c>
      <c r="P27" s="9">
        <f>sunrise(Location!$B$4,Location!$B$5,Location!$B$6,11,A27,Location!$B$7,0)</f>
        <v>0.2868996812540655</v>
      </c>
      <c r="Q27" s="9">
        <f>sunset(Location!$B$4,Location!$B$5,Location!$B$6,11,A27,Location!$B$7,0)</f>
        <v>0.7235490174529032</v>
      </c>
      <c r="R27" s="9">
        <f t="shared" si="8"/>
        <v>0.4366493361988377</v>
      </c>
      <c r="S27" s="10">
        <f t="shared" si="9"/>
        <v>0.03638744468323648</v>
      </c>
      <c r="T27" s="9">
        <f t="shared" si="10"/>
        <v>23.563350663801163</v>
      </c>
      <c r="U27" s="10">
        <f t="shared" si="11"/>
        <v>0.04694588865009685</v>
      </c>
    </row>
    <row r="28" spans="1:21" ht="12.75">
      <c r="A28" s="5">
        <v>26</v>
      </c>
      <c r="B28" s="6" t="str">
        <f t="shared" si="14"/>
        <v>Friday</v>
      </c>
      <c r="C28" s="59"/>
      <c r="D28" s="95" t="s">
        <v>69</v>
      </c>
      <c r="E28" s="8" t="s">
        <v>17</v>
      </c>
      <c r="F28" s="6" t="s">
        <v>117</v>
      </c>
      <c r="G28" s="130"/>
      <c r="H28" s="9">
        <f t="shared" si="0"/>
        <v>12.005446153987673</v>
      </c>
      <c r="I28" s="9">
        <f t="shared" si="1"/>
        <v>6.146456018602709</v>
      </c>
      <c r="J28" s="9">
        <f t="shared" si="2"/>
        <v>0.2874658832177456</v>
      </c>
      <c r="K28" s="9">
        <f t="shared" si="3"/>
        <v>0.39645601860270946</v>
      </c>
      <c r="L28" s="9">
        <f t="shared" si="4"/>
        <v>0.5054461539876733</v>
      </c>
      <c r="M28" s="9">
        <f t="shared" si="5"/>
        <v>0.6144362893726372</v>
      </c>
      <c r="N28" s="9">
        <f t="shared" si="6"/>
        <v>0.723426424757601</v>
      </c>
      <c r="O28" s="9">
        <f t="shared" si="7"/>
        <v>0.8644362893726372</v>
      </c>
      <c r="P28" s="9">
        <f>sunrise(Location!$B$4,Location!$B$5,Location!$B$6,11,A28,Location!$B$7,0)</f>
        <v>0.2874658832177456</v>
      </c>
      <c r="Q28" s="9">
        <f>sunset(Location!$B$4,Location!$B$5,Location!$B$6,11,A28,Location!$B$7,0)</f>
        <v>0.723426424757601</v>
      </c>
      <c r="R28" s="9">
        <f t="shared" si="8"/>
        <v>0.4359605415398554</v>
      </c>
      <c r="S28" s="10">
        <f t="shared" si="9"/>
        <v>0.03633004512832128</v>
      </c>
      <c r="T28" s="9">
        <f t="shared" si="10"/>
        <v>23.564039458460144</v>
      </c>
      <c r="U28" s="10">
        <f t="shared" si="11"/>
        <v>0.047003288205012046</v>
      </c>
    </row>
    <row r="29" spans="1:21" ht="12.75">
      <c r="A29" s="5">
        <v>27</v>
      </c>
      <c r="B29" s="6" t="str">
        <f t="shared" si="14"/>
        <v>Saturday</v>
      </c>
      <c r="C29" s="59"/>
      <c r="D29" s="7"/>
      <c r="E29" s="8" t="s">
        <v>21</v>
      </c>
      <c r="F29" s="6" t="s">
        <v>118</v>
      </c>
      <c r="G29" s="130"/>
      <c r="H29" s="9">
        <f t="shared" si="0"/>
        <v>12.0056764215423</v>
      </c>
      <c r="I29" s="9">
        <f t="shared" si="1"/>
        <v>6.146852995114901</v>
      </c>
      <c r="J29" s="9">
        <f t="shared" si="2"/>
        <v>0.2880295686875006</v>
      </c>
      <c r="K29" s="9">
        <f t="shared" si="3"/>
        <v>0.3968529951149006</v>
      </c>
      <c r="L29" s="9">
        <f t="shared" si="4"/>
        <v>0.5056764215423005</v>
      </c>
      <c r="M29" s="9">
        <f t="shared" si="5"/>
        <v>0.6144998479697005</v>
      </c>
      <c r="N29" s="9">
        <f t="shared" si="6"/>
        <v>0.7233232743971004</v>
      </c>
      <c r="O29" s="9">
        <f t="shared" si="7"/>
        <v>0.8644998479697005</v>
      </c>
      <c r="P29" s="9">
        <f>sunrise(Location!$B$4,Location!$B$5,Location!$B$6,11,A29,Location!$B$7,0)</f>
        <v>0.2880295686875006</v>
      </c>
      <c r="Q29" s="9">
        <f>sunset(Location!$B$4,Location!$B$5,Location!$B$6,11,A29,Location!$B$7,0)</f>
        <v>0.7233232743971004</v>
      </c>
      <c r="R29" s="9">
        <f t="shared" si="8"/>
        <v>0.4352937057095998</v>
      </c>
      <c r="S29" s="10">
        <f t="shared" si="9"/>
        <v>0.03627447547579998</v>
      </c>
      <c r="T29" s="9">
        <f t="shared" si="10"/>
        <v>23.5647062942904</v>
      </c>
      <c r="U29" s="10">
        <f t="shared" si="11"/>
        <v>0.047058857857533345</v>
      </c>
    </row>
    <row r="30" spans="1:21" ht="12.75">
      <c r="A30" s="5">
        <v>28</v>
      </c>
      <c r="B30" s="6" t="str">
        <f t="shared" si="14"/>
        <v>Sunday</v>
      </c>
      <c r="C30" s="59"/>
      <c r="D30" s="95" t="s">
        <v>72</v>
      </c>
      <c r="E30" s="8" t="s">
        <v>24</v>
      </c>
      <c r="F30" s="6" t="s">
        <v>119</v>
      </c>
      <c r="G30" s="135" t="s">
        <v>312</v>
      </c>
      <c r="H30" s="9">
        <f t="shared" si="0"/>
        <v>12.005914945276658</v>
      </c>
      <c r="I30" s="9">
        <f t="shared" si="1"/>
        <v>6.147252613104461</v>
      </c>
      <c r="J30" s="9">
        <f t="shared" si="2"/>
        <v>0.28859028093226424</v>
      </c>
      <c r="K30" s="9">
        <f t="shared" si="3"/>
        <v>0.39725261310446136</v>
      </c>
      <c r="L30" s="9">
        <f t="shared" si="4"/>
        <v>0.5059149452766585</v>
      </c>
      <c r="M30" s="9">
        <f t="shared" si="5"/>
        <v>0.6145772774488556</v>
      </c>
      <c r="N30" s="9">
        <f t="shared" si="6"/>
        <v>0.7232396096210526</v>
      </c>
      <c r="O30" s="9">
        <f t="shared" si="7"/>
        <v>0.8645772774488555</v>
      </c>
      <c r="P30" s="9">
        <f>sunrise(Location!$B$4,Location!$B$5,Location!$B$6,11,A30,Location!$B$7,0)</f>
        <v>0.28859028093226424</v>
      </c>
      <c r="Q30" s="9">
        <f>sunset(Location!$B$4,Location!$B$5,Location!$B$6,11,A30,Location!$B$7,0)</f>
        <v>0.7232396096210526</v>
      </c>
      <c r="R30" s="9">
        <f t="shared" si="8"/>
        <v>0.43464932868878836</v>
      </c>
      <c r="S30" s="10">
        <f t="shared" si="9"/>
        <v>0.036220777390732366</v>
      </c>
      <c r="T30" s="9">
        <f t="shared" si="10"/>
        <v>23.56535067131121</v>
      </c>
      <c r="U30" s="10">
        <f t="shared" si="11"/>
        <v>0.04711255594260096</v>
      </c>
    </row>
    <row r="31" spans="1:21" ht="12.75">
      <c r="A31" s="5">
        <v>29</v>
      </c>
      <c r="B31" s="6" t="str">
        <f>B3</f>
        <v>Monday</v>
      </c>
      <c r="C31" s="59"/>
      <c r="D31" s="95" t="s">
        <v>75</v>
      </c>
      <c r="E31" s="8" t="s">
        <v>26</v>
      </c>
      <c r="F31" s="6" t="s">
        <v>120</v>
      </c>
      <c r="G31" s="138"/>
      <c r="H31" s="9">
        <f t="shared" si="0"/>
        <v>12.00616150606782</v>
      </c>
      <c r="I31" s="9">
        <f t="shared" si="1"/>
        <v>6.147654530273434</v>
      </c>
      <c r="J31" s="9">
        <f t="shared" si="2"/>
        <v>0.2891475544790489</v>
      </c>
      <c r="K31" s="9">
        <f t="shared" si="3"/>
        <v>0.397654530273434</v>
      </c>
      <c r="L31" s="9">
        <f t="shared" si="4"/>
        <v>0.5061615060678192</v>
      </c>
      <c r="M31" s="9">
        <f t="shared" si="5"/>
        <v>0.6146684818622044</v>
      </c>
      <c r="N31" s="9">
        <f t="shared" si="6"/>
        <v>0.7231754576565895</v>
      </c>
      <c r="O31" s="9">
        <f t="shared" si="7"/>
        <v>0.8646684818622044</v>
      </c>
      <c r="P31" s="9">
        <f>sunrise(Location!$B$4,Location!$B$5,Location!$B$6,11,A31,Location!$B$7,0)</f>
        <v>0.2891475544790489</v>
      </c>
      <c r="Q31" s="9">
        <f>sunset(Location!$B$4,Location!$B$5,Location!$B$6,11,A31,Location!$B$7,0)</f>
        <v>0.7231754576565895</v>
      </c>
      <c r="R31" s="9">
        <f t="shared" si="8"/>
        <v>0.43402790317754064</v>
      </c>
      <c r="S31" s="10">
        <f t="shared" si="9"/>
        <v>0.03616899193146172</v>
      </c>
      <c r="T31" s="9">
        <f t="shared" si="10"/>
        <v>23.56597209682246</v>
      </c>
      <c r="U31" s="10">
        <f t="shared" si="11"/>
        <v>0.04716434140187161</v>
      </c>
    </row>
    <row r="32" spans="1:21" ht="12.75">
      <c r="A32" s="5">
        <v>30</v>
      </c>
      <c r="B32" s="6" t="str">
        <f>B4</f>
        <v>Tuesday</v>
      </c>
      <c r="C32" s="59"/>
      <c r="D32" s="7"/>
      <c r="E32" s="8" t="s">
        <v>29</v>
      </c>
      <c r="F32" s="6" t="s">
        <v>78</v>
      </c>
      <c r="G32" s="47" t="s">
        <v>229</v>
      </c>
      <c r="H32" s="9">
        <f t="shared" si="0"/>
        <v>12.006415872650807</v>
      </c>
      <c r="I32" s="9">
        <f t="shared" si="1"/>
        <v>6.14805839429414</v>
      </c>
      <c r="J32" s="9">
        <f t="shared" si="2"/>
        <v>0.2897009159374727</v>
      </c>
      <c r="K32" s="9">
        <f t="shared" si="3"/>
        <v>0.39805839429414047</v>
      </c>
      <c r="L32" s="9">
        <f t="shared" si="4"/>
        <v>0.5064158726508082</v>
      </c>
      <c r="M32" s="9">
        <f t="shared" si="5"/>
        <v>0.614773351007476</v>
      </c>
      <c r="N32" s="9">
        <f t="shared" si="6"/>
        <v>0.7231308293641437</v>
      </c>
      <c r="O32" s="9">
        <f t="shared" si="7"/>
        <v>0.864773351007476</v>
      </c>
      <c r="P32" s="9">
        <f>sunrise(Location!$B$4,Location!$B$5,Location!$B$6,11,A32,Location!$B$7,0)</f>
        <v>0.2897009159374727</v>
      </c>
      <c r="Q32" s="9">
        <f>sunset(Location!$B$4,Location!$B$5,Location!$B$6,11,A32,Location!$B$7,0)</f>
        <v>0.7231308293641437</v>
      </c>
      <c r="R32" s="9">
        <f t="shared" si="8"/>
        <v>0.43342991342667103</v>
      </c>
      <c r="S32" s="10">
        <f t="shared" si="9"/>
        <v>0.036119159452222584</v>
      </c>
      <c r="T32" s="9">
        <f t="shared" si="10"/>
        <v>23.56657008657333</v>
      </c>
      <c r="U32" s="10">
        <f t="shared" si="11"/>
        <v>0.047214173881110745</v>
      </c>
    </row>
    <row r="33" ht="12.75">
      <c r="B33" s="6"/>
    </row>
    <row r="34" ht="12.75">
      <c r="B34" s="6"/>
    </row>
    <row r="35" spans="1:5" ht="12.75">
      <c r="A35" s="6"/>
      <c r="E35" s="11"/>
    </row>
    <row r="36" spans="2:5" ht="12.75">
      <c r="B36" s="6"/>
      <c r="D36" s="52"/>
      <c r="E36" s="13"/>
    </row>
    <row r="37" spans="2:5" ht="12.75">
      <c r="B37" s="6"/>
      <c r="C37" s="58" t="str">
        <f>IF(Location!B9="No",Location!C13,Location!C14)</f>
        <v>C</v>
      </c>
      <c r="E37" s="13"/>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U39"/>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170</v>
      </c>
      <c r="B1" s="122"/>
      <c r="C1" s="122"/>
      <c r="D1" s="122"/>
      <c r="E1" s="123" t="str">
        <f>ROMAN(Location!$B$6)</f>
        <v>MMX</v>
      </c>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November!B26</f>
        <v>Wednesday</v>
      </c>
      <c r="C3" s="59"/>
      <c r="D3" s="95" t="s">
        <v>20</v>
      </c>
      <c r="E3" s="8" t="s">
        <v>32</v>
      </c>
      <c r="F3" s="6" t="s">
        <v>18</v>
      </c>
      <c r="G3" s="138"/>
      <c r="H3" s="9">
        <f aca="true" t="shared" si="0" ref="H3:H33">(T3/2)+Q3-"12:00:00"</f>
        <v>12.016066748345906</v>
      </c>
      <c r="I3" s="9">
        <f aca="true" t="shared" si="1" ref="I3:I33">H3+((J3-H3)/2)</f>
        <v>6.1625472630618425</v>
      </c>
      <c r="J3" s="9">
        <f aca="true" t="shared" si="2" ref="J3:J33">P3</f>
        <v>0.3090277777777778</v>
      </c>
      <c r="K3" s="9">
        <f aca="true" t="shared" si="3" ref="K3:K33">J3+((L3-J3)/2)</f>
        <v>0.41254726306184125</v>
      </c>
      <c r="L3" s="9">
        <f aca="true" t="shared" si="4" ref="L3:L33">(R3/2)+J3</f>
        <v>0.5160667483459047</v>
      </c>
      <c r="M3" s="9">
        <f aca="true" t="shared" si="5" ref="M3:M33">((N3-L3)/2)+L3</f>
        <v>0.6195862336299682</v>
      </c>
      <c r="N3" s="9">
        <f aca="true" t="shared" si="6" ref="N3:N33">Q3</f>
        <v>0.7231057189140317</v>
      </c>
      <c r="O3" s="9">
        <f aca="true" t="shared" si="7" ref="O3:O33">3*U3+N3</f>
        <v>0.8695862336299682</v>
      </c>
      <c r="P3" s="9">
        <v>0.3090277777777778</v>
      </c>
      <c r="Q3" s="9">
        <f>sunset(Location!$B$4,Location!$B$5,Location!$B$6,12,A3,Location!$B$7,0)</f>
        <v>0.7231057189140317</v>
      </c>
      <c r="R3" s="9">
        <f aca="true" t="shared" si="8" ref="R3:R33">Q3-P3</f>
        <v>0.41407794113625396</v>
      </c>
      <c r="S3" s="10">
        <f aca="true" t="shared" si="9" ref="S3:S33">R3/12</f>
        <v>0.03450649509468783</v>
      </c>
      <c r="T3" s="9">
        <f aca="true" t="shared" si="10" ref="T3:T33">(24-(Q3-P3))</f>
        <v>23.585922058863748</v>
      </c>
      <c r="U3" s="10">
        <f aca="true" t="shared" si="11" ref="U3:U33">"1:00:00"-S3+"1:00:00"</f>
        <v>0.0488268382386455</v>
      </c>
    </row>
    <row r="4" spans="1:21" ht="12.75">
      <c r="A4" s="5">
        <v>2</v>
      </c>
      <c r="B4" s="6" t="str">
        <f>November!B27</f>
        <v>Thursday</v>
      </c>
      <c r="C4" s="59"/>
      <c r="D4" s="7"/>
      <c r="E4" s="8" t="s">
        <v>36</v>
      </c>
      <c r="F4" s="6" t="s">
        <v>93</v>
      </c>
      <c r="G4" s="138"/>
      <c r="H4" s="9">
        <f t="shared" si="0"/>
        <v>12.006947039058318</v>
      </c>
      <c r="I4" s="9">
        <f t="shared" si="1"/>
        <v>6.14887050684452</v>
      </c>
      <c r="J4" s="9">
        <f t="shared" si="2"/>
        <v>0.2907939746307219</v>
      </c>
      <c r="K4" s="9">
        <f t="shared" si="3"/>
        <v>0.3988705068445198</v>
      </c>
      <c r="L4" s="9">
        <f t="shared" si="4"/>
        <v>0.5069470390583177</v>
      </c>
      <c r="M4" s="9">
        <f t="shared" si="5"/>
        <v>0.6150235712721156</v>
      </c>
      <c r="N4" s="9">
        <f t="shared" si="6"/>
        <v>0.7231001034859135</v>
      </c>
      <c r="O4" s="9">
        <f t="shared" si="7"/>
        <v>0.8650235712721155</v>
      </c>
      <c r="P4" s="9">
        <f>sunrise(Location!$B$4,Location!$B$5,Location!$B$6,12,A4,Location!$B$7,0)</f>
        <v>0.2907939746307219</v>
      </c>
      <c r="Q4" s="9">
        <f>sunset(Location!$B$4,Location!$B$5,Location!$B$6,12,A4,Location!$B$7,0)</f>
        <v>0.7231001034859135</v>
      </c>
      <c r="R4" s="9">
        <f t="shared" si="8"/>
        <v>0.4323061288551916</v>
      </c>
      <c r="S4" s="10">
        <f t="shared" si="9"/>
        <v>0.036025510737932635</v>
      </c>
      <c r="T4" s="9">
        <f t="shared" si="10"/>
        <v>23.567693871144808</v>
      </c>
      <c r="U4" s="10">
        <f t="shared" si="11"/>
        <v>0.04730782259540069</v>
      </c>
    </row>
    <row r="5" spans="1:21" ht="12.75">
      <c r="A5" s="5">
        <v>3</v>
      </c>
      <c r="B5" s="6" t="str">
        <f>November!B28</f>
        <v>Friday</v>
      </c>
      <c r="C5" s="59"/>
      <c r="D5" s="95" t="s">
        <v>23</v>
      </c>
      <c r="E5" s="8" t="s">
        <v>17</v>
      </c>
      <c r="F5" s="6" t="s">
        <v>94</v>
      </c>
      <c r="G5" s="138"/>
      <c r="H5" s="9">
        <f t="shared" si="0"/>
        <v>12.007223318195685</v>
      </c>
      <c r="I5" s="9">
        <f t="shared" si="1"/>
        <v>6.1492780057967344</v>
      </c>
      <c r="J5" s="9">
        <f t="shared" si="2"/>
        <v>0.29133269339778484</v>
      </c>
      <c r="K5" s="9">
        <f t="shared" si="3"/>
        <v>0.3992780057967348</v>
      </c>
      <c r="L5" s="9">
        <f t="shared" si="4"/>
        <v>0.5072233181956848</v>
      </c>
      <c r="M5" s="9">
        <f t="shared" si="5"/>
        <v>0.6151686305946348</v>
      </c>
      <c r="N5" s="9">
        <f t="shared" si="6"/>
        <v>0.7231139429935848</v>
      </c>
      <c r="O5" s="9">
        <f t="shared" si="7"/>
        <v>0.8651686305946348</v>
      </c>
      <c r="P5" s="9">
        <f>sunrise(Location!$B$4,Location!$B$5,Location!$B$6,12,A5,Location!$B$7,0)</f>
        <v>0.29133269339778484</v>
      </c>
      <c r="Q5" s="9">
        <f>sunset(Location!$B$4,Location!$B$5,Location!$B$6,12,A5,Location!$B$7,0)</f>
        <v>0.7231139429935848</v>
      </c>
      <c r="R5" s="9">
        <f t="shared" si="8"/>
        <v>0.43178124959579994</v>
      </c>
      <c r="S5" s="10">
        <f t="shared" si="9"/>
        <v>0.035981770799649995</v>
      </c>
      <c r="T5" s="9">
        <f t="shared" si="10"/>
        <v>23.5682187504042</v>
      </c>
      <c r="U5" s="10">
        <f t="shared" si="11"/>
        <v>0.04735156253368333</v>
      </c>
    </row>
    <row r="6" spans="1:21" ht="12.75">
      <c r="A6" s="5">
        <v>4</v>
      </c>
      <c r="B6" s="6" t="str">
        <f>November!B29</f>
        <v>Saturday</v>
      </c>
      <c r="C6" s="59"/>
      <c r="D6" s="95" t="s">
        <v>28</v>
      </c>
      <c r="E6" s="8" t="s">
        <v>21</v>
      </c>
      <c r="F6" s="6" t="s">
        <v>27</v>
      </c>
      <c r="G6" s="138"/>
      <c r="H6" s="9">
        <f t="shared" si="0"/>
        <v>12.007506362427161</v>
      </c>
      <c r="I6" s="9">
        <f t="shared" si="1"/>
        <v>6.149685953722126</v>
      </c>
      <c r="J6" s="9">
        <f t="shared" si="2"/>
        <v>0.29186554501708983</v>
      </c>
      <c r="K6" s="9">
        <f t="shared" si="3"/>
        <v>0.3996859537221256</v>
      </c>
      <c r="L6" s="9">
        <f t="shared" si="4"/>
        <v>0.5075063624271614</v>
      </c>
      <c r="M6" s="9">
        <f t="shared" si="5"/>
        <v>0.6153267711321972</v>
      </c>
      <c r="N6" s="9">
        <f t="shared" si="6"/>
        <v>0.723147179837233</v>
      </c>
      <c r="O6" s="9">
        <f t="shared" si="7"/>
        <v>0.8653267711321971</v>
      </c>
      <c r="P6" s="9">
        <f>sunrise(Location!$B$4,Location!$B$5,Location!$B$6,12,A6,Location!$B$7,0)</f>
        <v>0.29186554501708983</v>
      </c>
      <c r="Q6" s="9">
        <f>sunset(Location!$B$4,Location!$B$5,Location!$B$6,12,A6,Location!$B$7,0)</f>
        <v>0.723147179837233</v>
      </c>
      <c r="R6" s="9">
        <f t="shared" si="8"/>
        <v>0.43128163482014314</v>
      </c>
      <c r="S6" s="10">
        <f t="shared" si="9"/>
        <v>0.03594013623501193</v>
      </c>
      <c r="T6" s="9">
        <f t="shared" si="10"/>
        <v>23.56871836517986</v>
      </c>
      <c r="U6" s="10">
        <f t="shared" si="11"/>
        <v>0.0473931970983214</v>
      </c>
    </row>
    <row r="7" spans="1:21" ht="12.75">
      <c r="A7" s="5">
        <v>5</v>
      </c>
      <c r="B7" s="6" t="str">
        <f>November!B30</f>
        <v>Sunday</v>
      </c>
      <c r="C7" s="59"/>
      <c r="D7" s="7"/>
      <c r="E7" s="8" t="s">
        <v>24</v>
      </c>
      <c r="F7" s="6" t="s">
        <v>30</v>
      </c>
      <c r="G7" s="135" t="s">
        <v>315</v>
      </c>
      <c r="H7" s="9">
        <f t="shared" si="0"/>
        <v>12.007795884357183</v>
      </c>
      <c r="I7" s="9">
        <f t="shared" si="1"/>
        <v>6.150093957193087</v>
      </c>
      <c r="J7" s="9">
        <f t="shared" si="2"/>
        <v>0.29239203002899034</v>
      </c>
      <c r="K7" s="9">
        <f t="shared" si="3"/>
        <v>0.4000939571930864</v>
      </c>
      <c r="L7" s="9">
        <f t="shared" si="4"/>
        <v>0.5077958843571824</v>
      </c>
      <c r="M7" s="9">
        <f t="shared" si="5"/>
        <v>0.6154978115212784</v>
      </c>
      <c r="N7" s="9">
        <f t="shared" si="6"/>
        <v>0.7231997386853745</v>
      </c>
      <c r="O7" s="9">
        <f t="shared" si="7"/>
        <v>0.8654978115212784</v>
      </c>
      <c r="P7" s="9">
        <f>sunrise(Location!$B$4,Location!$B$5,Location!$B$6,12,A7,Location!$B$7,0)</f>
        <v>0.29239203002899034</v>
      </c>
      <c r="Q7" s="9">
        <f>sunset(Location!$B$4,Location!$B$5,Location!$B$6,12,A7,Location!$B$7,0)</f>
        <v>0.7231997386853745</v>
      </c>
      <c r="R7" s="9">
        <f t="shared" si="8"/>
        <v>0.4308077086563841</v>
      </c>
      <c r="S7" s="10">
        <f t="shared" si="9"/>
        <v>0.03590064238803201</v>
      </c>
      <c r="T7" s="9">
        <f t="shared" si="10"/>
        <v>23.569192291343615</v>
      </c>
      <c r="U7" s="10">
        <f t="shared" si="11"/>
        <v>0.047432690945301316</v>
      </c>
    </row>
    <row r="8" spans="1:21" ht="12.75">
      <c r="A8" s="5">
        <v>6</v>
      </c>
      <c r="B8" s="6" t="str">
        <f>November!B31</f>
        <v>Monday</v>
      </c>
      <c r="C8" s="59"/>
      <c r="D8" s="95" t="s">
        <v>35</v>
      </c>
      <c r="E8" s="8" t="s">
        <v>26</v>
      </c>
      <c r="F8" s="6" t="s">
        <v>95</v>
      </c>
      <c r="G8" s="48" t="s">
        <v>149</v>
      </c>
      <c r="H8" s="9">
        <f t="shared" si="0"/>
        <v>12.008091586471416</v>
      </c>
      <c r="I8" s="9">
        <f t="shared" si="1"/>
        <v>6.1505016165626</v>
      </c>
      <c r="J8" s="9">
        <f t="shared" si="2"/>
        <v>0.2929116466537844</v>
      </c>
      <c r="K8" s="9">
        <f t="shared" si="3"/>
        <v>0.4005016165626004</v>
      </c>
      <c r="L8" s="9">
        <f t="shared" si="4"/>
        <v>0.5080915864714164</v>
      </c>
      <c r="M8" s="9">
        <f t="shared" si="5"/>
        <v>0.6156815563802325</v>
      </c>
      <c r="N8" s="9">
        <f t="shared" si="6"/>
        <v>0.7232715262890484</v>
      </c>
      <c r="O8" s="9">
        <f t="shared" si="7"/>
        <v>0.8656815563802325</v>
      </c>
      <c r="P8" s="9">
        <f>sunrise(Location!$B$4,Location!$B$5,Location!$B$6,12,A8,Location!$B$7,0)</f>
        <v>0.2929116466537844</v>
      </c>
      <c r="Q8" s="9">
        <f>sunset(Location!$B$4,Location!$B$5,Location!$B$6,12,A8,Location!$B$7,0)</f>
        <v>0.7232715262890484</v>
      </c>
      <c r="R8" s="9">
        <f t="shared" si="8"/>
        <v>0.43035987963526406</v>
      </c>
      <c r="S8" s="10">
        <f t="shared" si="9"/>
        <v>0.03586332330293867</v>
      </c>
      <c r="T8" s="9">
        <f t="shared" si="10"/>
        <v>23.569640120364735</v>
      </c>
      <c r="U8" s="10">
        <f t="shared" si="11"/>
        <v>0.04747001003039466</v>
      </c>
    </row>
    <row r="9" spans="1:21" ht="12.75">
      <c r="A9" s="5">
        <v>7</v>
      </c>
      <c r="B9" s="6" t="str">
        <f>November!B32</f>
        <v>Tuesday</v>
      </c>
      <c r="C9" s="59"/>
      <c r="D9" s="95" t="s">
        <v>38</v>
      </c>
      <c r="E9" s="8" t="s">
        <v>29</v>
      </c>
      <c r="F9" s="6" t="s">
        <v>96</v>
      </c>
      <c r="G9" s="138"/>
      <c r="H9" s="9">
        <f t="shared" si="0"/>
        <v>12.008393161565523</v>
      </c>
      <c r="I9" s="9">
        <f t="shared" si="1"/>
        <v>6.150908526683277</v>
      </c>
      <c r="J9" s="9">
        <f t="shared" si="2"/>
        <v>0.29342389180102973</v>
      </c>
      <c r="K9" s="9">
        <f t="shared" si="3"/>
        <v>0.40090852668327637</v>
      </c>
      <c r="L9" s="9">
        <f t="shared" si="4"/>
        <v>0.5083931615655229</v>
      </c>
      <c r="M9" s="9">
        <f t="shared" si="5"/>
        <v>0.6158777964477695</v>
      </c>
      <c r="N9" s="9">
        <f t="shared" si="6"/>
        <v>0.7233624313300162</v>
      </c>
      <c r="O9" s="9">
        <f t="shared" si="7"/>
        <v>0.8658777964477695</v>
      </c>
      <c r="P9" s="9">
        <f>sunrise(Location!$B$4,Location!$B$5,Location!$B$6,12,A9,Location!$B$7,0)</f>
        <v>0.29342389180102973</v>
      </c>
      <c r="Q9" s="9">
        <f>sunset(Location!$B$4,Location!$B$5,Location!$B$6,12,A9,Location!$B$7,0)</f>
        <v>0.7233624313300162</v>
      </c>
      <c r="R9" s="9">
        <f t="shared" si="8"/>
        <v>0.4299385395289865</v>
      </c>
      <c r="S9" s="10">
        <f t="shared" si="9"/>
        <v>0.03582821162741554</v>
      </c>
      <c r="T9" s="9">
        <f t="shared" si="10"/>
        <v>23.570061460471013</v>
      </c>
      <c r="U9" s="10">
        <f t="shared" si="11"/>
        <v>0.04750512170591779</v>
      </c>
    </row>
    <row r="10" spans="1:21" ht="12.75">
      <c r="A10" s="5">
        <v>8</v>
      </c>
      <c r="B10" s="6" t="str">
        <f aca="true" t="shared" si="12" ref="B10:B16">B3</f>
        <v>Wednesday</v>
      </c>
      <c r="C10" s="59"/>
      <c r="D10" s="7"/>
      <c r="E10" s="8" t="s">
        <v>32</v>
      </c>
      <c r="F10" s="6" t="s">
        <v>97</v>
      </c>
      <c r="G10" s="48" t="s">
        <v>150</v>
      </c>
      <c r="H10" s="9">
        <f t="shared" si="0"/>
        <v>12.008700293198784</v>
      </c>
      <c r="I10" s="9">
        <f t="shared" si="1"/>
        <v>6.151314277645266</v>
      </c>
      <c r="J10" s="9">
        <f t="shared" si="2"/>
        <v>0.2939282620917479</v>
      </c>
      <c r="K10" s="9">
        <f t="shared" si="3"/>
        <v>0.4013142776452656</v>
      </c>
      <c r="L10" s="9">
        <f t="shared" si="4"/>
        <v>0.5087002931987833</v>
      </c>
      <c r="M10" s="9">
        <f t="shared" si="5"/>
        <v>0.616086308752301</v>
      </c>
      <c r="N10" s="9">
        <f t="shared" si="6"/>
        <v>0.7234723243058188</v>
      </c>
      <c r="O10" s="9">
        <f t="shared" si="7"/>
        <v>0.866086308752301</v>
      </c>
      <c r="P10" s="9">
        <f>sunrise(Location!$B$4,Location!$B$5,Location!$B$6,12,A10,Location!$B$7,0)</f>
        <v>0.2939282620917479</v>
      </c>
      <c r="Q10" s="9">
        <f>sunset(Location!$B$4,Location!$B$5,Location!$B$6,12,A10,Location!$B$7,0)</f>
        <v>0.7234723243058188</v>
      </c>
      <c r="R10" s="9">
        <f t="shared" si="8"/>
        <v>0.4295440622140709</v>
      </c>
      <c r="S10" s="10">
        <f t="shared" si="9"/>
        <v>0.03579533851783924</v>
      </c>
      <c r="T10" s="9">
        <f t="shared" si="10"/>
        <v>23.57045593778593</v>
      </c>
      <c r="U10" s="10">
        <f t="shared" si="11"/>
        <v>0.04753799481549409</v>
      </c>
    </row>
    <row r="11" spans="1:21" ht="12.75">
      <c r="A11" s="5">
        <v>9</v>
      </c>
      <c r="B11" s="6" t="str">
        <f t="shared" si="12"/>
        <v>Thursday</v>
      </c>
      <c r="C11" s="59"/>
      <c r="D11" s="95" t="s">
        <v>40</v>
      </c>
      <c r="E11" s="8" t="s">
        <v>36</v>
      </c>
      <c r="F11" s="6" t="s">
        <v>98</v>
      </c>
      <c r="G11" s="138"/>
      <c r="H11" s="9">
        <f t="shared" si="0"/>
        <v>12.00901265617118</v>
      </c>
      <c r="I11" s="9">
        <f t="shared" si="1"/>
        <v>6.1517184555301165</v>
      </c>
      <c r="J11" s="9">
        <f t="shared" si="2"/>
        <v>0.2944242548890526</v>
      </c>
      <c r="K11" s="9">
        <f t="shared" si="3"/>
        <v>0.401718455530116</v>
      </c>
      <c r="L11" s="9">
        <f t="shared" si="4"/>
        <v>0.5090126561711793</v>
      </c>
      <c r="M11" s="9">
        <f t="shared" si="5"/>
        <v>0.6163068568122427</v>
      </c>
      <c r="N11" s="9">
        <f t="shared" si="6"/>
        <v>0.723601057453306</v>
      </c>
      <c r="O11" s="9">
        <f t="shared" si="7"/>
        <v>0.8663068568122427</v>
      </c>
      <c r="P11" s="9">
        <f>sunrise(Location!$B$4,Location!$B$5,Location!$B$6,12,A11,Location!$B$7,0)</f>
        <v>0.2944242548890526</v>
      </c>
      <c r="Q11" s="9">
        <f>sunset(Location!$B$4,Location!$B$5,Location!$B$6,12,A11,Location!$B$7,0)</f>
        <v>0.723601057453306</v>
      </c>
      <c r="R11" s="9">
        <f t="shared" si="8"/>
        <v>0.42917680256425345</v>
      </c>
      <c r="S11" s="10">
        <f t="shared" si="9"/>
        <v>0.03576473354702112</v>
      </c>
      <c r="T11" s="9">
        <f t="shared" si="10"/>
        <v>23.570823197435747</v>
      </c>
      <c r="U11" s="10">
        <f t="shared" si="11"/>
        <v>0.047568599786312206</v>
      </c>
    </row>
    <row r="12" spans="1:21" ht="12.75">
      <c r="A12" s="5">
        <v>10</v>
      </c>
      <c r="B12" s="6" t="str">
        <f t="shared" si="12"/>
        <v>Friday</v>
      </c>
      <c r="C12" s="59"/>
      <c r="D12" s="95" t="s">
        <v>42</v>
      </c>
      <c r="E12" s="8" t="s">
        <v>17</v>
      </c>
      <c r="F12" s="6" t="s">
        <v>99</v>
      </c>
      <c r="G12" s="138"/>
      <c r="H12" s="9">
        <f t="shared" si="0"/>
        <v>12.009329917022118</v>
      </c>
      <c r="I12" s="9">
        <f t="shared" si="1"/>
        <v>6.152120643176592</v>
      </c>
      <c r="J12" s="9">
        <f t="shared" si="2"/>
        <v>0.2949113693310666</v>
      </c>
      <c r="K12" s="9">
        <f t="shared" si="3"/>
        <v>0.402120643176593</v>
      </c>
      <c r="L12" s="9">
        <f t="shared" si="4"/>
        <v>0.5093299170221195</v>
      </c>
      <c r="M12" s="9">
        <f t="shared" si="5"/>
        <v>0.616539190867646</v>
      </c>
      <c r="N12" s="9">
        <f t="shared" si="6"/>
        <v>0.7237484647131724</v>
      </c>
      <c r="O12" s="9">
        <f t="shared" si="7"/>
        <v>0.866539190867646</v>
      </c>
      <c r="P12" s="9">
        <f>sunrise(Location!$B$4,Location!$B$5,Location!$B$6,12,A12,Location!$B$7,0)</f>
        <v>0.2949113693310666</v>
      </c>
      <c r="Q12" s="9">
        <f>sunset(Location!$B$4,Location!$B$5,Location!$B$6,12,A12,Location!$B$7,0)</f>
        <v>0.7237484647131724</v>
      </c>
      <c r="R12" s="9">
        <f t="shared" si="8"/>
        <v>0.42883709538210585</v>
      </c>
      <c r="S12" s="10">
        <f t="shared" si="9"/>
        <v>0.03573642461517549</v>
      </c>
      <c r="T12" s="9">
        <f t="shared" si="10"/>
        <v>23.571162904617893</v>
      </c>
      <c r="U12" s="10">
        <f t="shared" si="11"/>
        <v>0.04759690871815784</v>
      </c>
    </row>
    <row r="13" spans="1:21" ht="12.75">
      <c r="A13" s="5">
        <v>11</v>
      </c>
      <c r="B13" s="6" t="str">
        <f t="shared" si="12"/>
        <v>Saturday</v>
      </c>
      <c r="C13" s="59"/>
      <c r="D13" s="7"/>
      <c r="E13" s="8" t="s">
        <v>21</v>
      </c>
      <c r="F13" s="6" t="s">
        <v>101</v>
      </c>
      <c r="G13" s="138"/>
      <c r="H13" s="9">
        <f t="shared" si="0"/>
        <v>12.009651734550172</v>
      </c>
      <c r="I13" s="9">
        <f t="shared" si="1"/>
        <v>6.152520420956742</v>
      </c>
      <c r="J13" s="9">
        <f t="shared" si="2"/>
        <v>0.29538910736331286</v>
      </c>
      <c r="K13" s="9">
        <f t="shared" si="3"/>
        <v>0.40252042095674223</v>
      </c>
      <c r="L13" s="9">
        <f t="shared" si="4"/>
        <v>0.5096517345501715</v>
      </c>
      <c r="M13" s="9">
        <f t="shared" si="5"/>
        <v>0.616783048143601</v>
      </c>
      <c r="N13" s="9">
        <f t="shared" si="6"/>
        <v>0.7239143617370303</v>
      </c>
      <c r="O13" s="9">
        <f t="shared" si="7"/>
        <v>0.866783048143601</v>
      </c>
      <c r="P13" s="9">
        <f>sunrise(Location!$B$4,Location!$B$5,Location!$B$6,12,A13,Location!$B$7,0)</f>
        <v>0.29538910736331286</v>
      </c>
      <c r="Q13" s="9">
        <f>sunset(Location!$B$4,Location!$B$5,Location!$B$6,12,A13,Location!$B$7,0)</f>
        <v>0.7239143617370303</v>
      </c>
      <c r="R13" s="9">
        <f t="shared" si="8"/>
        <v>0.4285252543737174</v>
      </c>
      <c r="S13" s="10">
        <f t="shared" si="9"/>
        <v>0.03571043786447645</v>
      </c>
      <c r="T13" s="9">
        <f t="shared" si="10"/>
        <v>23.571474745626283</v>
      </c>
      <c r="U13" s="10">
        <f t="shared" si="11"/>
        <v>0.047622895468856875</v>
      </c>
    </row>
    <row r="14" spans="1:21" ht="12.75">
      <c r="A14" s="5">
        <v>12</v>
      </c>
      <c r="B14" s="6" t="str">
        <f t="shared" si="12"/>
        <v>Sunday</v>
      </c>
      <c r="C14" s="59"/>
      <c r="D14" s="95" t="s">
        <v>45</v>
      </c>
      <c r="E14" s="8" t="s">
        <v>24</v>
      </c>
      <c r="F14" s="6" t="s">
        <v>46</v>
      </c>
      <c r="G14" s="135" t="s">
        <v>316</v>
      </c>
      <c r="H14" s="9">
        <f t="shared" si="0"/>
        <v>12.009977760353431</v>
      </c>
      <c r="I14" s="9">
        <f t="shared" si="1"/>
        <v>6.15291736756048</v>
      </c>
      <c r="J14" s="9">
        <f t="shared" si="2"/>
        <v>0.29585697476752887</v>
      </c>
      <c r="K14" s="9">
        <f t="shared" si="3"/>
        <v>0.40291736756048024</v>
      </c>
      <c r="L14" s="9">
        <f t="shared" si="4"/>
        <v>0.5099777603534316</v>
      </c>
      <c r="M14" s="9">
        <f t="shared" si="5"/>
        <v>0.6170381531463829</v>
      </c>
      <c r="N14" s="9">
        <f t="shared" si="6"/>
        <v>0.7240985459393343</v>
      </c>
      <c r="O14" s="9">
        <f t="shared" si="7"/>
        <v>0.8670381531463829</v>
      </c>
      <c r="P14" s="9">
        <f>sunrise(Location!$B$4,Location!$B$5,Location!$B$6,12,A14,Location!$B$7,0)</f>
        <v>0.29585697476752887</v>
      </c>
      <c r="Q14" s="9">
        <f>sunset(Location!$B$4,Location!$B$5,Location!$B$6,12,A14,Location!$B$7,0)</f>
        <v>0.7240985459393343</v>
      </c>
      <c r="R14" s="9">
        <f t="shared" si="8"/>
        <v>0.42824157117180545</v>
      </c>
      <c r="S14" s="10">
        <f t="shared" si="9"/>
        <v>0.035686797597650456</v>
      </c>
      <c r="T14" s="9">
        <f t="shared" si="10"/>
        <v>23.571758428828193</v>
      </c>
      <c r="U14" s="10">
        <f t="shared" si="11"/>
        <v>0.04764653573568287</v>
      </c>
    </row>
    <row r="15" spans="1:21" ht="12.75">
      <c r="A15" s="5">
        <v>13</v>
      </c>
      <c r="B15" s="6" t="str">
        <f t="shared" si="12"/>
        <v>Monday</v>
      </c>
      <c r="C15" s="59"/>
      <c r="D15" s="7"/>
      <c r="E15" s="8" t="s">
        <v>26</v>
      </c>
      <c r="F15" s="6" t="s">
        <v>47</v>
      </c>
      <c r="G15" s="47" t="s">
        <v>212</v>
      </c>
      <c r="H15" s="9">
        <f t="shared" si="0"/>
        <v>12.010307639386411</v>
      </c>
      <c r="I15" s="9">
        <f t="shared" si="1"/>
        <v>6.153311060782079</v>
      </c>
      <c r="J15" s="9">
        <f t="shared" si="2"/>
        <v>0.2963144821777464</v>
      </c>
      <c r="K15" s="9">
        <f t="shared" si="3"/>
        <v>0.40331106078207923</v>
      </c>
      <c r="L15" s="9">
        <f t="shared" si="4"/>
        <v>0.510307639386412</v>
      </c>
      <c r="M15" s="9">
        <f t="shared" si="5"/>
        <v>0.6173042179907449</v>
      </c>
      <c r="N15" s="9">
        <f t="shared" si="6"/>
        <v>0.7243007965950776</v>
      </c>
      <c r="O15" s="9">
        <f t="shared" si="7"/>
        <v>0.8673042179907449</v>
      </c>
      <c r="P15" s="9">
        <f>sunrise(Location!$B$4,Location!$B$5,Location!$B$6,12,A15,Location!$B$7,0)</f>
        <v>0.2963144821777464</v>
      </c>
      <c r="Q15" s="9">
        <f>sunset(Location!$B$4,Location!$B$5,Location!$B$6,12,A15,Location!$B$7,0)</f>
        <v>0.7243007965950776</v>
      </c>
      <c r="R15" s="9">
        <f t="shared" si="8"/>
        <v>0.4279863144173312</v>
      </c>
      <c r="S15" s="10">
        <f t="shared" si="9"/>
        <v>0.03566552620144427</v>
      </c>
      <c r="T15" s="9">
        <f t="shared" si="10"/>
        <v>23.572013685582668</v>
      </c>
      <c r="U15" s="10">
        <f t="shared" si="11"/>
        <v>0.04766780713188906</v>
      </c>
    </row>
    <row r="16" spans="1:21" ht="12.75">
      <c r="A16" s="5">
        <v>14</v>
      </c>
      <c r="B16" s="6" t="str">
        <f t="shared" si="12"/>
        <v>Tuesday</v>
      </c>
      <c r="C16" s="59"/>
      <c r="D16" s="95" t="s">
        <v>48</v>
      </c>
      <c r="E16" s="8" t="s">
        <v>29</v>
      </c>
      <c r="F16" s="6" t="s">
        <v>141</v>
      </c>
      <c r="G16" s="138"/>
      <c r="H16" s="9">
        <f t="shared" si="0"/>
        <v>12.010641010536546</v>
      </c>
      <c r="I16" s="9">
        <f t="shared" si="1"/>
        <v>6.153701078311713</v>
      </c>
      <c r="J16" s="9">
        <f t="shared" si="2"/>
        <v>0.2967611460868808</v>
      </c>
      <c r="K16" s="9">
        <f t="shared" si="3"/>
        <v>0.4037010783117124</v>
      </c>
      <c r="L16" s="9">
        <f t="shared" si="4"/>
        <v>0.5106410105365441</v>
      </c>
      <c r="M16" s="9">
        <f t="shared" si="5"/>
        <v>0.6175809427613757</v>
      </c>
      <c r="N16" s="9">
        <f t="shared" si="6"/>
        <v>0.7245208749862073</v>
      </c>
      <c r="O16" s="9">
        <f t="shared" si="7"/>
        <v>0.8675809427613757</v>
      </c>
      <c r="P16" s="9">
        <f>sunrise(Location!$B$4,Location!$B$5,Location!$B$6,12,A16,Location!$B$7,0)</f>
        <v>0.2967611460868808</v>
      </c>
      <c r="Q16" s="9">
        <f>sunset(Location!$B$4,Location!$B$5,Location!$B$6,12,A16,Location!$B$7,0)</f>
        <v>0.7245208749862073</v>
      </c>
      <c r="R16" s="9">
        <f t="shared" si="8"/>
        <v>0.4277597288993265</v>
      </c>
      <c r="S16" s="10">
        <f t="shared" si="9"/>
        <v>0.035646644074943876</v>
      </c>
      <c r="T16" s="9">
        <f t="shared" si="10"/>
        <v>23.572240271100675</v>
      </c>
      <c r="U16" s="10">
        <f t="shared" si="11"/>
        <v>0.04768668925838945</v>
      </c>
    </row>
    <row r="17" spans="1:21" ht="12.75">
      <c r="A17" s="5">
        <v>15</v>
      </c>
      <c r="B17" s="6" t="str">
        <f aca="true" t="shared" si="13" ref="B17:B23">B3</f>
        <v>Wednesday</v>
      </c>
      <c r="C17" s="59"/>
      <c r="D17" s="95" t="s">
        <v>50</v>
      </c>
      <c r="E17" s="8" t="s">
        <v>32</v>
      </c>
      <c r="F17" s="6" t="s">
        <v>122</v>
      </c>
      <c r="G17" s="158" t="s">
        <v>211</v>
      </c>
      <c r="H17" s="9">
        <f t="shared" si="0"/>
        <v>12.010977507213662</v>
      </c>
      <c r="I17" s="9">
        <f t="shared" si="1"/>
        <v>6.154086998522532</v>
      </c>
      <c r="J17" s="9">
        <f t="shared" si="2"/>
        <v>0.29719648983140107</v>
      </c>
      <c r="K17" s="9">
        <f t="shared" si="3"/>
        <v>0.40408699852253116</v>
      </c>
      <c r="L17" s="9">
        <f t="shared" si="4"/>
        <v>0.5109775072136613</v>
      </c>
      <c r="M17" s="9">
        <f t="shared" si="5"/>
        <v>0.6178680159047913</v>
      </c>
      <c r="N17" s="9">
        <f t="shared" si="6"/>
        <v>0.7247585245959215</v>
      </c>
      <c r="O17" s="9">
        <f t="shared" si="7"/>
        <v>0.8678680159047913</v>
      </c>
      <c r="P17" s="9">
        <f>sunrise(Location!$B$4,Location!$B$5,Location!$B$6,12,A17,Location!$B$7,0)</f>
        <v>0.29719648983140107</v>
      </c>
      <c r="Q17" s="9">
        <f>sunset(Location!$B$4,Location!$B$5,Location!$B$6,12,A17,Location!$B$7,0)</f>
        <v>0.7247585245959215</v>
      </c>
      <c r="R17" s="9">
        <f t="shared" si="8"/>
        <v>0.4275620347645204</v>
      </c>
      <c r="S17" s="10">
        <f t="shared" si="9"/>
        <v>0.03563016956371003</v>
      </c>
      <c r="T17" s="9">
        <f t="shared" si="10"/>
        <v>23.57243796523548</v>
      </c>
      <c r="U17" s="10">
        <f t="shared" si="11"/>
        <v>0.047703163769623295</v>
      </c>
    </row>
    <row r="18" spans="1:21" ht="12.75">
      <c r="A18" s="5">
        <v>16</v>
      </c>
      <c r="B18" s="6" t="str">
        <f t="shared" si="13"/>
        <v>Thursday</v>
      </c>
      <c r="C18" s="59"/>
      <c r="D18" s="7"/>
      <c r="E18" s="8" t="s">
        <v>36</v>
      </c>
      <c r="F18" s="6" t="s">
        <v>102</v>
      </c>
      <c r="G18" s="138"/>
      <c r="H18" s="9">
        <f t="shared" si="0"/>
        <v>12.011316757955875</v>
      </c>
      <c r="I18" s="9">
        <f t="shared" si="1"/>
        <v>6.1544684012568895</v>
      </c>
      <c r="J18" s="9">
        <f t="shared" si="2"/>
        <v>0.29762004455790375</v>
      </c>
      <c r="K18" s="9">
        <f t="shared" si="3"/>
        <v>0.40446840125688954</v>
      </c>
      <c r="L18" s="9">
        <f t="shared" si="4"/>
        <v>0.5113167579558753</v>
      </c>
      <c r="M18" s="9">
        <f t="shared" si="5"/>
        <v>0.618165114654861</v>
      </c>
      <c r="N18" s="9">
        <f t="shared" si="6"/>
        <v>0.7250134713538468</v>
      </c>
      <c r="O18" s="9">
        <f t="shared" si="7"/>
        <v>0.868165114654861</v>
      </c>
      <c r="P18" s="9">
        <f>sunrise(Location!$B$4,Location!$B$5,Location!$B$6,12,A18,Location!$B$7,0)</f>
        <v>0.29762004455790375</v>
      </c>
      <c r="Q18" s="9">
        <f>sunset(Location!$B$4,Location!$B$5,Location!$B$6,12,A18,Location!$B$7,0)</f>
        <v>0.7250134713538468</v>
      </c>
      <c r="R18" s="9">
        <f t="shared" si="8"/>
        <v>0.427393426795943</v>
      </c>
      <c r="S18" s="10">
        <f t="shared" si="9"/>
        <v>0.03561611889966192</v>
      </c>
      <c r="T18" s="9">
        <f t="shared" si="10"/>
        <v>23.572606573204055</v>
      </c>
      <c r="U18" s="10">
        <f t="shared" si="11"/>
        <v>0.04771721443367141</v>
      </c>
    </row>
    <row r="19" spans="1:21" ht="12.75">
      <c r="A19" s="5">
        <v>17</v>
      </c>
      <c r="B19" s="6" t="str">
        <f t="shared" si="13"/>
        <v>Friday</v>
      </c>
      <c r="C19" s="59"/>
      <c r="D19" s="95" t="s">
        <v>53</v>
      </c>
      <c r="E19" s="8" t="s">
        <v>17</v>
      </c>
      <c r="F19" s="6" t="s">
        <v>103</v>
      </c>
      <c r="G19" s="158" t="s">
        <v>211</v>
      </c>
      <c r="H19" s="9">
        <f t="shared" si="0"/>
        <v>12.011658387046158</v>
      </c>
      <c r="I19" s="9">
        <f t="shared" si="1"/>
        <v>6.154844868603188</v>
      </c>
      <c r="J19" s="9">
        <f t="shared" si="2"/>
        <v>0.2980313501602195</v>
      </c>
      <c r="K19" s="9">
        <f t="shared" si="3"/>
        <v>0.4048448686031888</v>
      </c>
      <c r="L19" s="9">
        <f t="shared" si="4"/>
        <v>0.5116583870461581</v>
      </c>
      <c r="M19" s="9">
        <f t="shared" si="5"/>
        <v>0.6184719054891274</v>
      </c>
      <c r="N19" s="9">
        <f t="shared" si="6"/>
        <v>0.7252854239320967</v>
      </c>
      <c r="O19" s="9">
        <f t="shared" si="7"/>
        <v>0.8684719054891274</v>
      </c>
      <c r="P19" s="9">
        <f>sunrise(Location!$B$4,Location!$B$5,Location!$B$6,12,A19,Location!$B$7,0)</f>
        <v>0.2980313501602195</v>
      </c>
      <c r="Q19" s="9">
        <f>sunset(Location!$B$4,Location!$B$5,Location!$B$6,12,A19,Location!$B$7,0)</f>
        <v>0.7252854239320967</v>
      </c>
      <c r="R19" s="9">
        <f t="shared" si="8"/>
        <v>0.42725407377187724</v>
      </c>
      <c r="S19" s="10">
        <f t="shared" si="9"/>
        <v>0.03560450614765644</v>
      </c>
      <c r="T19" s="9">
        <f t="shared" si="10"/>
        <v>23.572745926228123</v>
      </c>
      <c r="U19" s="10">
        <f t="shared" si="11"/>
        <v>0.04772882718567689</v>
      </c>
    </row>
    <row r="20" spans="1:21" ht="12.75">
      <c r="A20" s="5">
        <v>18</v>
      </c>
      <c r="B20" s="6" t="str">
        <f t="shared" si="13"/>
        <v>Saturday</v>
      </c>
      <c r="C20" s="59"/>
      <c r="D20" s="95" t="s">
        <v>55</v>
      </c>
      <c r="E20" s="8" t="s">
        <v>21</v>
      </c>
      <c r="F20" s="6" t="s">
        <v>105</v>
      </c>
      <c r="G20" s="158" t="s">
        <v>211</v>
      </c>
      <c r="H20" s="9">
        <f t="shared" si="0"/>
        <v>12.012002015141436</v>
      </c>
      <c r="I20" s="9">
        <f t="shared" si="1"/>
        <v>6.155215985666022</v>
      </c>
      <c r="J20" s="9">
        <f t="shared" si="2"/>
        <v>0.2984299561906084</v>
      </c>
      <c r="K20" s="9">
        <f t="shared" si="3"/>
        <v>0.4052159856660216</v>
      </c>
      <c r="L20" s="9">
        <f t="shared" si="4"/>
        <v>0.5120020151414348</v>
      </c>
      <c r="M20" s="9">
        <f t="shared" si="5"/>
        <v>0.6187880446168481</v>
      </c>
      <c r="N20" s="9">
        <f t="shared" si="6"/>
        <v>0.7255740740922613</v>
      </c>
      <c r="O20" s="9">
        <f t="shared" si="7"/>
        <v>0.8687880446168481</v>
      </c>
      <c r="P20" s="9">
        <f>sunrise(Location!$B$4,Location!$B$5,Location!$B$6,12,A20,Location!$B$7,0)</f>
        <v>0.2984299561906084</v>
      </c>
      <c r="Q20" s="9">
        <f>sunset(Location!$B$4,Location!$B$5,Location!$B$6,12,A20,Location!$B$7,0)</f>
        <v>0.7255740740922613</v>
      </c>
      <c r="R20" s="9">
        <f t="shared" si="8"/>
        <v>0.42714411790165285</v>
      </c>
      <c r="S20" s="10">
        <f t="shared" si="9"/>
        <v>0.03559534315847107</v>
      </c>
      <c r="T20" s="9">
        <f t="shared" si="10"/>
        <v>23.57285588209835</v>
      </c>
      <c r="U20" s="10">
        <f t="shared" si="11"/>
        <v>0.04773799017486226</v>
      </c>
    </row>
    <row r="21" spans="1:21" ht="12.75">
      <c r="A21" s="5">
        <v>19</v>
      </c>
      <c r="B21" s="6" t="str">
        <f t="shared" si="13"/>
        <v>Sunday</v>
      </c>
      <c r="C21" s="59"/>
      <c r="D21" s="7"/>
      <c r="E21" s="8" t="s">
        <v>24</v>
      </c>
      <c r="F21" s="6" t="s">
        <v>107</v>
      </c>
      <c r="G21" s="135" t="s">
        <v>317</v>
      </c>
      <c r="H21" s="9">
        <f t="shared" si="0"/>
        <v>12.012347259909486</v>
      </c>
      <c r="I21" s="9">
        <f t="shared" si="1"/>
        <v>6.155581341322047</v>
      </c>
      <c r="J21" s="9">
        <f t="shared" si="2"/>
        <v>0.29881542273460837</v>
      </c>
      <c r="K21" s="9">
        <f t="shared" si="3"/>
        <v>0.4055813413220472</v>
      </c>
      <c r="L21" s="9">
        <f t="shared" si="4"/>
        <v>0.512347259909486</v>
      </c>
      <c r="M21" s="9">
        <f t="shared" si="5"/>
        <v>0.6191131784969248</v>
      </c>
      <c r="N21" s="9">
        <f t="shared" si="6"/>
        <v>0.7258790970843637</v>
      </c>
      <c r="O21" s="9">
        <f t="shared" si="7"/>
        <v>0.8691131784969248</v>
      </c>
      <c r="P21" s="9">
        <f>sunrise(Location!$B$4,Location!$B$5,Location!$B$6,12,A21,Location!$B$7,0)</f>
        <v>0.29881542273460837</v>
      </c>
      <c r="Q21" s="9">
        <f>sunset(Location!$B$4,Location!$B$5,Location!$B$6,12,A21,Location!$B$7,0)</f>
        <v>0.7258790970843637</v>
      </c>
      <c r="R21" s="9">
        <f t="shared" si="8"/>
        <v>0.42706367434975534</v>
      </c>
      <c r="S21" s="10">
        <f t="shared" si="9"/>
        <v>0.03558863952914628</v>
      </c>
      <c r="T21" s="9">
        <f t="shared" si="10"/>
        <v>23.572936325650243</v>
      </c>
      <c r="U21" s="10">
        <f t="shared" si="11"/>
        <v>0.04774469380418705</v>
      </c>
    </row>
    <row r="22" spans="1:21" ht="12.75">
      <c r="A22" s="5">
        <v>20</v>
      </c>
      <c r="B22" s="6" t="str">
        <f t="shared" si="13"/>
        <v>Monday</v>
      </c>
      <c r="C22" s="59"/>
      <c r="D22" s="95" t="s">
        <v>59</v>
      </c>
      <c r="E22" s="8" t="s">
        <v>26</v>
      </c>
      <c r="F22" s="6" t="s">
        <v>108</v>
      </c>
      <c r="G22" s="138"/>
      <c r="H22" s="9">
        <f t="shared" si="0"/>
        <v>12.012693736674898</v>
      </c>
      <c r="I22" s="9">
        <f t="shared" si="1"/>
        <v>6.155940528963484</v>
      </c>
      <c r="J22" s="9">
        <f t="shared" si="2"/>
        <v>0.2991873212520698</v>
      </c>
      <c r="K22" s="9">
        <f t="shared" si="3"/>
        <v>0.4059405289634841</v>
      </c>
      <c r="L22" s="9">
        <f t="shared" si="4"/>
        <v>0.5126937366748984</v>
      </c>
      <c r="M22" s="9">
        <f t="shared" si="5"/>
        <v>0.6194469443863126</v>
      </c>
      <c r="N22" s="9">
        <f t="shared" si="6"/>
        <v>0.7262001520977269</v>
      </c>
      <c r="O22" s="9">
        <f t="shared" si="7"/>
        <v>0.8694469443863126</v>
      </c>
      <c r="P22" s="9">
        <f>sunrise(Location!$B$4,Location!$B$5,Location!$B$6,12,A22,Location!$B$7,0)</f>
        <v>0.2991873212520698</v>
      </c>
      <c r="Q22" s="9">
        <f>sunset(Location!$B$4,Location!$B$5,Location!$B$6,12,A22,Location!$B$7,0)</f>
        <v>0.7262001520977269</v>
      </c>
      <c r="R22" s="9">
        <f t="shared" si="8"/>
        <v>0.4270128308456571</v>
      </c>
      <c r="S22" s="10">
        <f t="shared" si="9"/>
        <v>0.03558440257047143</v>
      </c>
      <c r="T22" s="9">
        <f t="shared" si="10"/>
        <v>23.57298716915434</v>
      </c>
      <c r="U22" s="10">
        <f t="shared" si="11"/>
        <v>0.0477489307628619</v>
      </c>
    </row>
    <row r="23" spans="1:21" ht="12.75">
      <c r="A23" s="5">
        <v>21</v>
      </c>
      <c r="B23" s="6" t="str">
        <f t="shared" si="13"/>
        <v>Tuesday</v>
      </c>
      <c r="C23" s="59"/>
      <c r="D23" s="95" t="s">
        <v>61</v>
      </c>
      <c r="E23" s="8" t="s">
        <v>29</v>
      </c>
      <c r="F23" s="6" t="s">
        <v>110</v>
      </c>
      <c r="G23" s="47" t="s">
        <v>230</v>
      </c>
      <c r="H23" s="9">
        <f t="shared" si="0"/>
        <v>12.01304105907001</v>
      </c>
      <c r="I23" s="9">
        <f t="shared" si="1"/>
        <v>6.156293147223681</v>
      </c>
      <c r="J23" s="9">
        <f t="shared" si="2"/>
        <v>0.29954523537735156</v>
      </c>
      <c r="K23" s="9">
        <f t="shared" si="3"/>
        <v>0.4062931472236812</v>
      </c>
      <c r="L23" s="9">
        <f t="shared" si="4"/>
        <v>0.5130410590700109</v>
      </c>
      <c r="M23" s="9">
        <f t="shared" si="5"/>
        <v>0.6197889709163404</v>
      </c>
      <c r="N23" s="9">
        <f t="shared" si="6"/>
        <v>0.7265368827626701</v>
      </c>
      <c r="O23" s="9">
        <f t="shared" si="7"/>
        <v>0.8697889709163404</v>
      </c>
      <c r="P23" s="9">
        <f>sunrise(Location!$B$4,Location!$B$5,Location!$B$6,12,A23,Location!$B$7,0)</f>
        <v>0.29954523537735156</v>
      </c>
      <c r="Q23" s="9">
        <f>sunset(Location!$B$4,Location!$B$5,Location!$B$6,12,A23,Location!$B$7,0)</f>
        <v>0.7265368827626701</v>
      </c>
      <c r="R23" s="9">
        <f t="shared" si="8"/>
        <v>0.4269916473853186</v>
      </c>
      <c r="S23" s="10">
        <f t="shared" si="9"/>
        <v>0.035582637282109884</v>
      </c>
      <c r="T23" s="9">
        <f t="shared" si="10"/>
        <v>23.573008352614682</v>
      </c>
      <c r="U23" s="10">
        <f t="shared" si="11"/>
        <v>0.047750696051223444</v>
      </c>
    </row>
    <row r="24" spans="1:21" ht="12.75">
      <c r="A24" s="5">
        <v>22</v>
      </c>
      <c r="B24" s="6" t="str">
        <f aca="true" t="shared" si="14" ref="B24:B30">B3</f>
        <v>Wednesday</v>
      </c>
      <c r="C24" s="59"/>
      <c r="D24" s="95" t="s">
        <v>216</v>
      </c>
      <c r="E24" s="8" t="s">
        <v>32</v>
      </c>
      <c r="F24" s="6" t="s">
        <v>111</v>
      </c>
      <c r="G24" s="138"/>
      <c r="H24" s="9">
        <f t="shared" si="0"/>
        <v>12.013388839690576</v>
      </c>
      <c r="I24" s="9">
        <f t="shared" si="1"/>
        <v>6.156638800684445</v>
      </c>
      <c r="J24" s="9">
        <f t="shared" si="2"/>
        <v>0.29988876167831496</v>
      </c>
      <c r="K24" s="9">
        <f t="shared" si="3"/>
        <v>0.4066388006844456</v>
      </c>
      <c r="L24" s="9">
        <f t="shared" si="4"/>
        <v>0.5133888396905762</v>
      </c>
      <c r="M24" s="9">
        <f t="shared" si="5"/>
        <v>0.6201388786967068</v>
      </c>
      <c r="N24" s="9">
        <f t="shared" si="6"/>
        <v>0.7268889177028375</v>
      </c>
      <c r="O24" s="9">
        <f t="shared" si="7"/>
        <v>0.8701388786967068</v>
      </c>
      <c r="P24" s="9">
        <f>sunrise(Location!$B$4,Location!$B$5,Location!$B$6,12,A24,Location!$B$7,0)</f>
        <v>0.29988876167831496</v>
      </c>
      <c r="Q24" s="9">
        <f>sunset(Location!$B$4,Location!$B$5,Location!$B$6,12,A24,Location!$B$7,0)</f>
        <v>0.7268889177028375</v>
      </c>
      <c r="R24" s="9">
        <f t="shared" si="8"/>
        <v>0.4270001560245225</v>
      </c>
      <c r="S24" s="10">
        <f t="shared" si="9"/>
        <v>0.035583346335376874</v>
      </c>
      <c r="T24" s="9">
        <f t="shared" si="10"/>
        <v>23.572999843975477</v>
      </c>
      <c r="U24" s="10">
        <f t="shared" si="11"/>
        <v>0.047749986997956455</v>
      </c>
    </row>
    <row r="25" spans="1:21" ht="12.75">
      <c r="A25" s="5">
        <v>23</v>
      </c>
      <c r="B25" s="6" t="str">
        <f t="shared" si="14"/>
        <v>Thursday</v>
      </c>
      <c r="C25" s="59"/>
      <c r="D25" s="7"/>
      <c r="E25" s="8" t="s">
        <v>36</v>
      </c>
      <c r="F25" s="6" t="s">
        <v>112</v>
      </c>
      <c r="G25" s="138"/>
      <c r="H25" s="9">
        <f t="shared" si="0"/>
        <v>12.013736690753214</v>
      </c>
      <c r="I25" s="9">
        <f t="shared" si="1"/>
        <v>6.156977100561578</v>
      </c>
      <c r="J25" s="9">
        <f t="shared" si="2"/>
        <v>0.3002175103699415</v>
      </c>
      <c r="K25" s="9">
        <f t="shared" si="3"/>
        <v>0.40697710056157776</v>
      </c>
      <c r="L25" s="9">
        <f t="shared" si="4"/>
        <v>0.513736690753214</v>
      </c>
      <c r="M25" s="9">
        <f t="shared" si="5"/>
        <v>0.6204962809448503</v>
      </c>
      <c r="N25" s="9">
        <f t="shared" si="6"/>
        <v>0.7272558711364866</v>
      </c>
      <c r="O25" s="9">
        <f t="shared" si="7"/>
        <v>0.8704962809448503</v>
      </c>
      <c r="P25" s="9">
        <f>sunrise(Location!$B$4,Location!$B$5,Location!$B$6,12,A25,Location!$B$7,0)</f>
        <v>0.3002175103699415</v>
      </c>
      <c r="Q25" s="9">
        <f>sunset(Location!$B$4,Location!$B$5,Location!$B$6,12,A25,Location!$B$7,0)</f>
        <v>0.7272558711364866</v>
      </c>
      <c r="R25" s="9">
        <f t="shared" si="8"/>
        <v>0.4270383607665451</v>
      </c>
      <c r="S25" s="10">
        <f t="shared" si="9"/>
        <v>0.03558653006387876</v>
      </c>
      <c r="T25" s="9">
        <f t="shared" si="10"/>
        <v>23.572961639233455</v>
      </c>
      <c r="U25" s="10">
        <f t="shared" si="11"/>
        <v>0.04774680326945457</v>
      </c>
    </row>
    <row r="26" spans="1:21" ht="12.75">
      <c r="A26" s="5">
        <v>24</v>
      </c>
      <c r="B26" s="6" t="str">
        <f t="shared" si="14"/>
        <v>Friday</v>
      </c>
      <c r="C26" s="59"/>
      <c r="D26" s="95" t="s">
        <v>64</v>
      </c>
      <c r="E26" s="8" t="s">
        <v>17</v>
      </c>
      <c r="F26" s="6" t="s">
        <v>113</v>
      </c>
      <c r="G26" s="138"/>
      <c r="H26" s="9">
        <f t="shared" si="0"/>
        <v>12.014084224754766</v>
      </c>
      <c r="I26" s="9">
        <f t="shared" si="1"/>
        <v>6.157307665368358</v>
      </c>
      <c r="J26" s="9">
        <f t="shared" si="2"/>
        <v>0.30053110598194943</v>
      </c>
      <c r="K26" s="9">
        <f t="shared" si="3"/>
        <v>0.4073076653683582</v>
      </c>
      <c r="L26" s="9">
        <f t="shared" si="4"/>
        <v>0.514084224754767</v>
      </c>
      <c r="M26" s="9">
        <f t="shared" si="5"/>
        <v>0.6208607841411758</v>
      </c>
      <c r="N26" s="9">
        <f t="shared" si="6"/>
        <v>0.7276373435275847</v>
      </c>
      <c r="O26" s="9">
        <f t="shared" si="7"/>
        <v>0.8708607841411758</v>
      </c>
      <c r="P26" s="9">
        <f>sunrise(Location!$B$4,Location!$B$5,Location!$B$6,12,A26,Location!$B$7,0)</f>
        <v>0.30053110598194943</v>
      </c>
      <c r="Q26" s="9">
        <f>sunset(Location!$B$4,Location!$B$5,Location!$B$6,12,A26,Location!$B$7,0)</f>
        <v>0.7276373435275847</v>
      </c>
      <c r="R26" s="9">
        <f t="shared" si="8"/>
        <v>0.42710623754563526</v>
      </c>
      <c r="S26" s="10">
        <f t="shared" si="9"/>
        <v>0.03559218646213627</v>
      </c>
      <c r="T26" s="9">
        <f t="shared" si="10"/>
        <v>23.572893762454363</v>
      </c>
      <c r="U26" s="10">
        <f t="shared" si="11"/>
        <v>0.04774114687119706</v>
      </c>
    </row>
    <row r="27" spans="1:21" ht="12.75">
      <c r="A27" s="5">
        <v>25</v>
      </c>
      <c r="B27" s="6" t="str">
        <f t="shared" si="14"/>
        <v>Saturday</v>
      </c>
      <c r="C27" s="59"/>
      <c r="D27" s="95" t="s">
        <v>67</v>
      </c>
      <c r="E27" s="8" t="s">
        <v>21</v>
      </c>
      <c r="F27" s="6" t="s">
        <v>114</v>
      </c>
      <c r="G27" s="44" t="s">
        <v>151</v>
      </c>
      <c r="H27" s="9">
        <f t="shared" si="0"/>
        <v>12.01443105512945</v>
      </c>
      <c r="I27" s="9">
        <f t="shared" si="1"/>
        <v>6.157630121553585</v>
      </c>
      <c r="J27" s="9">
        <f t="shared" si="2"/>
        <v>0.30082918797772085</v>
      </c>
      <c r="K27" s="9">
        <f t="shared" si="3"/>
        <v>0.4076301215535853</v>
      </c>
      <c r="L27" s="9">
        <f t="shared" si="4"/>
        <v>0.5144310551294498</v>
      </c>
      <c r="M27" s="9">
        <f t="shared" si="5"/>
        <v>0.6212319887053142</v>
      </c>
      <c r="N27" s="9">
        <f t="shared" si="6"/>
        <v>0.7280329222811786</v>
      </c>
      <c r="O27" s="9">
        <f t="shared" si="7"/>
        <v>0.8712319887053142</v>
      </c>
      <c r="P27" s="9">
        <f>sunrise(Location!$B$4,Location!$B$5,Location!$B$6,12,A27,Location!$B$7,0)</f>
        <v>0.30082918797772085</v>
      </c>
      <c r="Q27" s="9">
        <f>sunset(Location!$B$4,Location!$B$5,Location!$B$6,12,A27,Location!$B$7,0)</f>
        <v>0.7280329222811786</v>
      </c>
      <c r="R27" s="9">
        <f t="shared" si="8"/>
        <v>0.4272037343034577</v>
      </c>
      <c r="S27" s="10">
        <f t="shared" si="9"/>
        <v>0.03560031119195481</v>
      </c>
      <c r="T27" s="9">
        <f t="shared" si="10"/>
        <v>23.572796265696542</v>
      </c>
      <c r="U27" s="10">
        <f t="shared" si="11"/>
        <v>0.04773302214137852</v>
      </c>
    </row>
    <row r="28" spans="1:21" ht="12.75">
      <c r="A28" s="5">
        <v>26</v>
      </c>
      <c r="B28" s="6" t="str">
        <f t="shared" si="14"/>
        <v>Sunday</v>
      </c>
      <c r="C28" s="59"/>
      <c r="D28" s="95" t="s">
        <v>69</v>
      </c>
      <c r="E28" s="8" t="s">
        <v>24</v>
      </c>
      <c r="F28" s="6" t="s">
        <v>116</v>
      </c>
      <c r="G28" s="146" t="s">
        <v>318</v>
      </c>
      <c r="H28" s="9">
        <f t="shared" si="0"/>
        <v>12.014776796904188</v>
      </c>
      <c r="I28" s="9">
        <f t="shared" si="1"/>
        <v>6.1579441041136445</v>
      </c>
      <c r="J28" s="9">
        <f t="shared" si="2"/>
        <v>0.30111141132310104</v>
      </c>
      <c r="K28" s="9">
        <f t="shared" si="3"/>
        <v>0.40794410411364435</v>
      </c>
      <c r="L28" s="9">
        <f t="shared" si="4"/>
        <v>0.5147767969041877</v>
      </c>
      <c r="M28" s="9">
        <f t="shared" si="5"/>
        <v>0.6216094896947308</v>
      </c>
      <c r="N28" s="9">
        <f t="shared" si="6"/>
        <v>0.7284421824852741</v>
      </c>
      <c r="O28" s="9">
        <f t="shared" si="7"/>
        <v>0.8716094896947308</v>
      </c>
      <c r="P28" s="9">
        <f>sunrise(Location!$B$4,Location!$B$5,Location!$B$6,12,A28,Location!$B$7,0)</f>
        <v>0.30111141132310104</v>
      </c>
      <c r="Q28" s="9">
        <f>sunset(Location!$B$4,Location!$B$5,Location!$B$6,12,A28,Location!$B$7,0)</f>
        <v>0.7284421824852741</v>
      </c>
      <c r="R28" s="9">
        <f t="shared" si="8"/>
        <v>0.4273307711621731</v>
      </c>
      <c r="S28" s="10">
        <f t="shared" si="9"/>
        <v>0.03561089759684776</v>
      </c>
      <c r="T28" s="9">
        <f t="shared" si="10"/>
        <v>23.572669228837828</v>
      </c>
      <c r="U28" s="10">
        <f t="shared" si="11"/>
        <v>0.04772243573648557</v>
      </c>
    </row>
    <row r="29" spans="1:21" ht="12.75">
      <c r="A29" s="5">
        <v>27</v>
      </c>
      <c r="B29" s="6" t="str">
        <f t="shared" si="14"/>
        <v>Monday</v>
      </c>
      <c r="C29" s="59"/>
      <c r="D29" s="7"/>
      <c r="E29" s="8" t="s">
        <v>26</v>
      </c>
      <c r="F29" s="6" t="s">
        <v>117</v>
      </c>
      <c r="G29" s="45" t="s">
        <v>232</v>
      </c>
      <c r="H29" s="9">
        <f t="shared" si="0"/>
        <v>12.015121067348286</v>
      </c>
      <c r="I29" s="9">
        <f t="shared" si="1"/>
        <v>6.1582492571760055</v>
      </c>
      <c r="J29" s="9">
        <f t="shared" si="2"/>
        <v>0.3013774470037254</v>
      </c>
      <c r="K29" s="9">
        <f t="shared" si="3"/>
        <v>0.4082492571760062</v>
      </c>
      <c r="L29" s="9">
        <f t="shared" si="4"/>
        <v>0.515121067348287</v>
      </c>
      <c r="M29" s="9">
        <f t="shared" si="5"/>
        <v>0.6219928775205679</v>
      </c>
      <c r="N29" s="9">
        <f t="shared" si="6"/>
        <v>0.7288646876928486</v>
      </c>
      <c r="O29" s="9">
        <f t="shared" si="7"/>
        <v>0.8719928775205678</v>
      </c>
      <c r="P29" s="9">
        <f>sunrise(Location!$B$4,Location!$B$5,Location!$B$6,12,A29,Location!$B$7,0)</f>
        <v>0.3013774470037254</v>
      </c>
      <c r="Q29" s="9">
        <f>sunset(Location!$B$4,Location!$B$5,Location!$B$6,12,A29,Location!$B$7,0)</f>
        <v>0.7288646876928486</v>
      </c>
      <c r="R29" s="9">
        <f t="shared" si="8"/>
        <v>0.42748724068912325</v>
      </c>
      <c r="S29" s="10">
        <f t="shared" si="9"/>
        <v>0.035623936724093606</v>
      </c>
      <c r="T29" s="9">
        <f t="shared" si="10"/>
        <v>23.572512759310875</v>
      </c>
      <c r="U29" s="10">
        <f t="shared" si="11"/>
        <v>0.04770939660923972</v>
      </c>
    </row>
    <row r="30" spans="1:21" ht="12.75">
      <c r="A30" s="5">
        <v>28</v>
      </c>
      <c r="B30" s="6" t="str">
        <f t="shared" si="14"/>
        <v>Tuesday</v>
      </c>
      <c r="C30" s="59"/>
      <c r="D30" s="95" t="s">
        <v>72</v>
      </c>
      <c r="E30" s="8" t="s">
        <v>29</v>
      </c>
      <c r="F30" s="6" t="s">
        <v>118</v>
      </c>
      <c r="G30" s="49" t="s">
        <v>152</v>
      </c>
      <c r="H30" s="9">
        <f t="shared" si="0"/>
        <v>12.01546348661829</v>
      </c>
      <c r="I30" s="9">
        <f t="shared" si="1"/>
        <v>6.158545234554929</v>
      </c>
      <c r="J30" s="9">
        <f t="shared" si="2"/>
        <v>0.30162698249157016</v>
      </c>
      <c r="K30" s="9">
        <f t="shared" si="3"/>
        <v>0.4085452345549293</v>
      </c>
      <c r="L30" s="9">
        <f t="shared" si="4"/>
        <v>0.5154634866182884</v>
      </c>
      <c r="M30" s="9">
        <f t="shared" si="5"/>
        <v>0.6223817386816476</v>
      </c>
      <c r="N30" s="9">
        <f t="shared" si="6"/>
        <v>0.7292999907450067</v>
      </c>
      <c r="O30" s="9">
        <f t="shared" si="7"/>
        <v>0.8723817386816476</v>
      </c>
      <c r="P30" s="9">
        <f>sunrise(Location!$B$4,Location!$B$5,Location!$B$6,12,A30,Location!$B$7,0)</f>
        <v>0.30162698249157016</v>
      </c>
      <c r="Q30" s="9">
        <f>sunset(Location!$B$4,Location!$B$5,Location!$B$6,12,A30,Location!$B$7,0)</f>
        <v>0.7292999907450067</v>
      </c>
      <c r="R30" s="9">
        <f t="shared" si="8"/>
        <v>0.42767300825343657</v>
      </c>
      <c r="S30" s="10">
        <f t="shared" si="9"/>
        <v>0.03563941735445305</v>
      </c>
      <c r="T30" s="9">
        <f t="shared" si="10"/>
        <v>23.572326991746564</v>
      </c>
      <c r="U30" s="10">
        <f t="shared" si="11"/>
        <v>0.04769391597888028</v>
      </c>
    </row>
    <row r="31" spans="1:21" ht="12.75">
      <c r="A31" s="5">
        <v>29</v>
      </c>
      <c r="B31" s="6" t="str">
        <f>B3</f>
        <v>Wednesday</v>
      </c>
      <c r="C31" s="59"/>
      <c r="D31" s="95" t="s">
        <v>75</v>
      </c>
      <c r="E31" s="8" t="s">
        <v>32</v>
      </c>
      <c r="F31" s="6" t="s">
        <v>119</v>
      </c>
      <c r="G31" s="99" t="s">
        <v>153</v>
      </c>
      <c r="H31" s="9">
        <f t="shared" si="0"/>
        <v>12.015803678393846</v>
      </c>
      <c r="I31" s="9">
        <f t="shared" si="1"/>
        <v>6.158831700275649</v>
      </c>
      <c r="J31" s="9">
        <f t="shared" si="2"/>
        <v>0.301859722157453</v>
      </c>
      <c r="K31" s="9">
        <f t="shared" si="3"/>
        <v>0.4088317002756491</v>
      </c>
      <c r="L31" s="9">
        <f t="shared" si="4"/>
        <v>0.5158036783938451</v>
      </c>
      <c r="M31" s="9">
        <f t="shared" si="5"/>
        <v>0.6227756565120413</v>
      </c>
      <c r="N31" s="9">
        <f t="shared" si="6"/>
        <v>0.7297476346302373</v>
      </c>
      <c r="O31" s="9">
        <f t="shared" si="7"/>
        <v>0.8727756565120413</v>
      </c>
      <c r="P31" s="9">
        <f>sunrise(Location!$B$4,Location!$B$5,Location!$B$6,12,A31,Location!$B$7,0)</f>
        <v>0.301859722157453</v>
      </c>
      <c r="Q31" s="9">
        <f>sunset(Location!$B$4,Location!$B$5,Location!$B$6,12,A31,Location!$B$7,0)</f>
        <v>0.7297476346302373</v>
      </c>
      <c r="R31" s="9">
        <f t="shared" si="8"/>
        <v>0.4278879124727843</v>
      </c>
      <c r="S31" s="10">
        <f t="shared" si="9"/>
        <v>0.03565732603939869</v>
      </c>
      <c r="T31" s="9">
        <f t="shared" si="10"/>
        <v>23.572112087527216</v>
      </c>
      <c r="U31" s="10">
        <f t="shared" si="11"/>
        <v>0.04767600729393464</v>
      </c>
    </row>
    <row r="32" spans="1:21" ht="12.75">
      <c r="A32" s="5">
        <v>30</v>
      </c>
      <c r="B32" s="6" t="str">
        <f>B4</f>
        <v>Thursday</v>
      </c>
      <c r="C32" s="59"/>
      <c r="D32" s="7"/>
      <c r="E32" s="8" t="s">
        <v>36</v>
      </c>
      <c r="F32" s="6" t="s">
        <v>120</v>
      </c>
      <c r="G32" s="50"/>
      <c r="H32" s="9">
        <f t="shared" si="0"/>
        <v>12.016141270504878</v>
      </c>
      <c r="I32" s="9">
        <f t="shared" si="1"/>
        <v>6.159108329068758</v>
      </c>
      <c r="J32" s="9">
        <f t="shared" si="2"/>
        <v>0.302075387632637</v>
      </c>
      <c r="K32" s="9">
        <f t="shared" si="3"/>
        <v>0.4091083290687576</v>
      </c>
      <c r="L32" s="9">
        <f t="shared" si="4"/>
        <v>0.5161412705048782</v>
      </c>
      <c r="M32" s="9">
        <f t="shared" si="5"/>
        <v>0.6231742119409989</v>
      </c>
      <c r="N32" s="9">
        <f t="shared" si="6"/>
        <v>0.7302071533771195</v>
      </c>
      <c r="O32" s="9">
        <f t="shared" si="7"/>
        <v>0.8731742119409989</v>
      </c>
      <c r="P32" s="9">
        <f>sunrise(Location!$B$4,Location!$B$5,Location!$B$6,12,A32,Location!$B$7,0)</f>
        <v>0.302075387632637</v>
      </c>
      <c r="Q32" s="9">
        <f>sunset(Location!$B$4,Location!$B$5,Location!$B$6,12,A32,Location!$B$7,0)</f>
        <v>0.7302071533771195</v>
      </c>
      <c r="R32" s="9">
        <f t="shared" si="8"/>
        <v>0.4281317657444825</v>
      </c>
      <c r="S32" s="10">
        <f t="shared" si="9"/>
        <v>0.03567764714537354</v>
      </c>
      <c r="T32" s="9">
        <f t="shared" si="10"/>
        <v>23.57186823425552</v>
      </c>
      <c r="U32" s="10">
        <f t="shared" si="11"/>
        <v>0.04765568618795979</v>
      </c>
    </row>
    <row r="33" spans="1:21" ht="12.75">
      <c r="A33" s="5">
        <v>31</v>
      </c>
      <c r="B33" s="6" t="str">
        <f>B5</f>
        <v>Friday</v>
      </c>
      <c r="C33" s="59"/>
      <c r="D33" s="97" t="s">
        <v>20</v>
      </c>
      <c r="E33" s="8" t="s">
        <v>17</v>
      </c>
      <c r="F33" s="6" t="s">
        <v>78</v>
      </c>
      <c r="G33" s="50"/>
      <c r="H33" s="9">
        <f t="shared" si="0"/>
        <v>12.016475895546405</v>
      </c>
      <c r="I33" s="9">
        <f t="shared" si="1"/>
        <v>6.159374806831511</v>
      </c>
      <c r="J33" s="9">
        <f t="shared" si="2"/>
        <v>0.30227371811661663</v>
      </c>
      <c r="K33" s="9">
        <f t="shared" si="3"/>
        <v>0.40937480683151084</v>
      </c>
      <c r="L33" s="9">
        <f t="shared" si="4"/>
        <v>0.516475895546405</v>
      </c>
      <c r="M33" s="9">
        <f t="shared" si="5"/>
        <v>0.6235769842612993</v>
      </c>
      <c r="N33" s="9">
        <f t="shared" si="6"/>
        <v>0.7306780729761934</v>
      </c>
      <c r="O33" s="9">
        <f t="shared" si="7"/>
        <v>0.8735769842612991</v>
      </c>
      <c r="P33" s="9">
        <f>sunrise(Location!$B$4,Location!$B$5,Location!$B$6,12,A33,Location!$B$7,0)</f>
        <v>0.30227371811661663</v>
      </c>
      <c r="Q33" s="9">
        <f>sunset(Location!$B$4,Location!$B$5,Location!$B$6,12,A33,Location!$B$7,0)</f>
        <v>0.7306780729761934</v>
      </c>
      <c r="R33" s="9">
        <f t="shared" si="8"/>
        <v>0.42840435485957673</v>
      </c>
      <c r="S33" s="10">
        <f t="shared" si="9"/>
        <v>0.03570036290496473</v>
      </c>
      <c r="T33" s="9">
        <f t="shared" si="10"/>
        <v>23.571595645140423</v>
      </c>
      <c r="U33" s="10">
        <f t="shared" si="11"/>
        <v>0.0476329704283686</v>
      </c>
    </row>
    <row r="34" spans="3:7" ht="12.75">
      <c r="C34" s="60"/>
      <c r="E34" s="13"/>
      <c r="G34" s="81"/>
    </row>
    <row r="35" spans="1:5" ht="12.75">
      <c r="A35" s="6"/>
      <c r="E35" s="13"/>
    </row>
    <row r="36" spans="4:5" ht="12.75">
      <c r="D36" s="52"/>
      <c r="E36" s="13"/>
    </row>
    <row r="37" spans="3:5" ht="12.75">
      <c r="C37" s="58" t="str">
        <f>IF(Location!B9="No",Location!C13,Location!C14)</f>
        <v>C</v>
      </c>
      <c r="E37" s="13"/>
    </row>
    <row r="38" ht="12.75">
      <c r="E38" s="13"/>
    </row>
    <row r="39" ht="12.75">
      <c r="E39" s="11"/>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sheetPr codeName="Sheet16"/>
  <dimension ref="A1:H105"/>
  <sheetViews>
    <sheetView zoomScalePageLayoutView="0" workbookViewId="0" topLeftCell="A1">
      <selection activeCell="K26" sqref="K26"/>
    </sheetView>
  </sheetViews>
  <sheetFormatPr defaultColWidth="9.140625" defaultRowHeight="12.75"/>
  <cols>
    <col min="1" max="1" width="2.7109375" style="69" customWidth="1"/>
    <col min="2" max="2" width="30.7109375" style="69" customWidth="1"/>
    <col min="3" max="3" width="2.7109375" style="69" customWidth="1"/>
    <col min="4" max="16384" width="9.140625" style="69" customWidth="1"/>
  </cols>
  <sheetData>
    <row r="1" spans="1:3" ht="11.25" customHeight="1">
      <c r="A1" s="152" t="s">
        <v>181</v>
      </c>
      <c r="B1" s="152"/>
      <c r="C1" s="152"/>
    </row>
    <row r="2" spans="1:4" ht="11.25" customHeight="1">
      <c r="A2" s="63">
        <v>1</v>
      </c>
      <c r="B2" s="70" t="s">
        <v>19</v>
      </c>
      <c r="C2" s="68"/>
      <c r="D2" s="69" t="s">
        <v>243</v>
      </c>
    </row>
    <row r="3" spans="1:4" ht="11.25" customHeight="1">
      <c r="A3" s="63">
        <v>5</v>
      </c>
      <c r="B3" s="73" t="s">
        <v>31</v>
      </c>
      <c r="C3" s="68"/>
      <c r="D3" s="69" t="s">
        <v>244</v>
      </c>
    </row>
    <row r="4" spans="1:4" ht="11.25" customHeight="1">
      <c r="A4" s="63">
        <v>6</v>
      </c>
      <c r="B4" s="70" t="s">
        <v>34</v>
      </c>
      <c r="C4" s="68"/>
      <c r="D4" s="69" t="s">
        <v>248</v>
      </c>
    </row>
    <row r="5" spans="1:4" ht="11.25" customHeight="1">
      <c r="A5" s="63">
        <v>13</v>
      </c>
      <c r="B5" s="70" t="s">
        <v>245</v>
      </c>
      <c r="C5" s="68"/>
      <c r="D5" s="69" t="s">
        <v>246</v>
      </c>
    </row>
    <row r="6" spans="1:4" ht="11.25" customHeight="1">
      <c r="A6" s="63">
        <v>15</v>
      </c>
      <c r="B6" s="70" t="s">
        <v>247</v>
      </c>
      <c r="C6" s="68"/>
      <c r="D6" s="80" t="s">
        <v>249</v>
      </c>
    </row>
    <row r="7" spans="1:4" ht="11.25" customHeight="1">
      <c r="A7" s="63">
        <v>18</v>
      </c>
      <c r="B7" s="70" t="s">
        <v>250</v>
      </c>
      <c r="C7" s="68"/>
      <c r="D7" s="80" t="s">
        <v>261</v>
      </c>
    </row>
    <row r="8" spans="1:4" ht="11.25" customHeight="1">
      <c r="A8" s="63">
        <v>19</v>
      </c>
      <c r="B8" s="104" t="s">
        <v>58</v>
      </c>
      <c r="C8" s="68"/>
      <c r="D8" s="80" t="s">
        <v>251</v>
      </c>
    </row>
    <row r="9" spans="1:4" ht="11.25" customHeight="1">
      <c r="A9" s="63">
        <v>20</v>
      </c>
      <c r="B9" s="119" t="s">
        <v>252</v>
      </c>
      <c r="C9" s="68"/>
      <c r="D9" s="80" t="s">
        <v>253</v>
      </c>
    </row>
    <row r="10" spans="1:4" ht="11.25" customHeight="1">
      <c r="A10" s="63">
        <v>21</v>
      </c>
      <c r="B10" s="119" t="s">
        <v>254</v>
      </c>
      <c r="C10" s="68"/>
      <c r="D10" s="80" t="s">
        <v>255</v>
      </c>
    </row>
    <row r="11" spans="1:4" ht="11.25" customHeight="1">
      <c r="A11" s="63">
        <v>22</v>
      </c>
      <c r="B11" s="119" t="s">
        <v>256</v>
      </c>
      <c r="C11" s="68"/>
      <c r="D11" s="80" t="s">
        <v>257</v>
      </c>
    </row>
    <row r="12" spans="1:4" ht="11.25" customHeight="1">
      <c r="A12" s="63">
        <v>25</v>
      </c>
      <c r="B12" s="70" t="s">
        <v>234</v>
      </c>
      <c r="C12" s="68"/>
      <c r="D12" s="80" t="s">
        <v>263</v>
      </c>
    </row>
    <row r="13" spans="1:3" ht="11.25" customHeight="1">
      <c r="A13" s="63">
        <v>26</v>
      </c>
      <c r="B13" s="74" t="s">
        <v>183</v>
      </c>
      <c r="C13" s="68"/>
    </row>
    <row r="14" spans="1:4" ht="11.25" customHeight="1">
      <c r="A14" s="63">
        <v>28</v>
      </c>
      <c r="B14" s="74" t="s">
        <v>74</v>
      </c>
      <c r="C14" s="68"/>
      <c r="D14" s="80" t="s">
        <v>258</v>
      </c>
    </row>
    <row r="15" spans="1:3" ht="11.25" customHeight="1">
      <c r="A15" s="68"/>
      <c r="B15" s="68"/>
      <c r="C15" s="68"/>
    </row>
    <row r="16" spans="1:3" ht="11.25" customHeight="1">
      <c r="A16" s="152" t="s">
        <v>182</v>
      </c>
      <c r="B16" s="152"/>
      <c r="C16" s="152"/>
    </row>
    <row r="17" spans="1:3" ht="11.25" customHeight="1">
      <c r="A17" s="63">
        <v>1</v>
      </c>
      <c r="B17" s="72" t="s">
        <v>184</v>
      </c>
      <c r="C17" s="68"/>
    </row>
    <row r="18" spans="1:3" ht="11.25" customHeight="1">
      <c r="A18" s="63">
        <v>2</v>
      </c>
      <c r="B18" s="64" t="s">
        <v>79</v>
      </c>
      <c r="C18" s="68"/>
    </row>
    <row r="19" spans="1:3" ht="11.25" customHeight="1">
      <c r="A19" s="63">
        <v>14</v>
      </c>
      <c r="B19" s="72" t="s">
        <v>80</v>
      </c>
      <c r="C19" s="68"/>
    </row>
    <row r="20" spans="1:3" ht="11.25" customHeight="1">
      <c r="A20" s="63">
        <v>20</v>
      </c>
      <c r="B20" s="72" t="s">
        <v>81</v>
      </c>
      <c r="C20" s="68"/>
    </row>
    <row r="21" spans="1:3" ht="11.25" customHeight="1">
      <c r="A21" s="63">
        <v>24</v>
      </c>
      <c r="B21" s="71" t="s">
        <v>82</v>
      </c>
      <c r="C21" s="68"/>
    </row>
    <row r="22" spans="1:3" ht="11.25" customHeight="1">
      <c r="A22" s="63">
        <v>25</v>
      </c>
      <c r="B22" s="72" t="s">
        <v>185</v>
      </c>
      <c r="C22" s="68"/>
    </row>
    <row r="23" spans="1:3" ht="11.25" customHeight="1">
      <c r="A23" s="63"/>
      <c r="B23" s="65"/>
      <c r="C23" s="68"/>
    </row>
    <row r="24" spans="1:3" ht="11.25" customHeight="1">
      <c r="A24" s="152" t="s">
        <v>186</v>
      </c>
      <c r="B24" s="152"/>
      <c r="C24" s="152"/>
    </row>
    <row r="25" spans="1:3" ht="11.25" customHeight="1">
      <c r="A25" s="63">
        <v>1</v>
      </c>
      <c r="B25" s="72" t="s">
        <v>89</v>
      </c>
      <c r="C25" s="68"/>
    </row>
    <row r="26" spans="1:3" ht="11.25" customHeight="1">
      <c r="A26" s="63">
        <v>2</v>
      </c>
      <c r="B26" s="72" t="s">
        <v>91</v>
      </c>
      <c r="C26" s="68"/>
    </row>
    <row r="27" spans="1:3" ht="11.25" customHeight="1">
      <c r="A27" s="63">
        <v>12</v>
      </c>
      <c r="B27" s="72" t="s">
        <v>100</v>
      </c>
      <c r="C27" s="68"/>
    </row>
    <row r="28" spans="1:3" ht="11.25" customHeight="1">
      <c r="A28" s="63">
        <v>17</v>
      </c>
      <c r="B28" s="72" t="s">
        <v>104</v>
      </c>
      <c r="C28" s="68"/>
    </row>
    <row r="29" spans="1:3" ht="11.25" customHeight="1">
      <c r="A29" s="63">
        <v>18</v>
      </c>
      <c r="B29" s="72" t="s">
        <v>106</v>
      </c>
      <c r="C29" s="68"/>
    </row>
    <row r="30" spans="1:3" ht="11.25" customHeight="1">
      <c r="A30" s="63">
        <v>19</v>
      </c>
      <c r="B30" s="72" t="s">
        <v>235</v>
      </c>
      <c r="C30" s="68"/>
    </row>
    <row r="31" spans="1:3" ht="11.25" customHeight="1">
      <c r="A31" s="63">
        <v>20</v>
      </c>
      <c r="B31" s="72" t="s">
        <v>109</v>
      </c>
      <c r="C31" s="68"/>
    </row>
    <row r="32" spans="1:3" ht="11.25" customHeight="1">
      <c r="A32" s="63">
        <v>21</v>
      </c>
      <c r="B32" s="72" t="s">
        <v>187</v>
      </c>
      <c r="C32" s="68"/>
    </row>
    <row r="33" spans="1:3" ht="11.25" customHeight="1">
      <c r="A33" s="63">
        <v>25</v>
      </c>
      <c r="B33" s="64" t="s">
        <v>115</v>
      </c>
      <c r="C33" s="68"/>
    </row>
    <row r="34" spans="1:3" ht="11.25" customHeight="1">
      <c r="A34" s="68"/>
      <c r="B34" s="68"/>
      <c r="C34" s="68"/>
    </row>
    <row r="35" spans="1:3" ht="11.25" customHeight="1">
      <c r="A35" s="152" t="s">
        <v>188</v>
      </c>
      <c r="B35" s="152"/>
      <c r="C35" s="152"/>
    </row>
    <row r="36" spans="1:4" ht="11.25" customHeight="1">
      <c r="A36" s="63">
        <v>3</v>
      </c>
      <c r="B36" s="64" t="s">
        <v>260</v>
      </c>
      <c r="C36" s="68"/>
      <c r="D36" s="69" t="s">
        <v>262</v>
      </c>
    </row>
    <row r="37" spans="1:3" ht="11.25" customHeight="1">
      <c r="A37" s="63">
        <v>19</v>
      </c>
      <c r="B37" s="71" t="s">
        <v>124</v>
      </c>
      <c r="C37" s="68"/>
    </row>
    <row r="38" spans="1:3" ht="11.25" customHeight="1">
      <c r="A38" s="63">
        <v>21</v>
      </c>
      <c r="B38" s="103" t="s">
        <v>125</v>
      </c>
      <c r="C38" s="68"/>
    </row>
    <row r="39" spans="1:3" ht="11.25" customHeight="1">
      <c r="A39" s="63">
        <v>23</v>
      </c>
      <c r="B39" s="71" t="s">
        <v>126</v>
      </c>
      <c r="C39" s="68"/>
    </row>
    <row r="40" spans="1:3" ht="11.25" customHeight="1">
      <c r="A40" s="63">
        <v>25</v>
      </c>
      <c r="B40" s="78" t="s">
        <v>241</v>
      </c>
      <c r="C40" s="68"/>
    </row>
    <row r="41" spans="1:3" ht="11.25" customHeight="1">
      <c r="A41" s="68"/>
      <c r="B41" s="68"/>
      <c r="C41" s="68"/>
    </row>
    <row r="42" spans="1:3" ht="12.75">
      <c r="A42" s="152" t="s">
        <v>189</v>
      </c>
      <c r="B42" s="152"/>
      <c r="C42" s="152"/>
    </row>
    <row r="43" spans="1:3" ht="12.75">
      <c r="A43" s="68">
        <v>1</v>
      </c>
      <c r="B43" s="71" t="s">
        <v>242</v>
      </c>
      <c r="C43" s="79"/>
    </row>
    <row r="44" spans="1:3" ht="12.75">
      <c r="A44" s="68">
        <v>3</v>
      </c>
      <c r="B44" s="64" t="s">
        <v>128</v>
      </c>
      <c r="C44" s="79"/>
    </row>
    <row r="45" spans="1:8" ht="12.75">
      <c r="A45" s="68">
        <v>19</v>
      </c>
      <c r="B45" s="72" t="s">
        <v>236</v>
      </c>
      <c r="C45" s="68"/>
      <c r="D45" s="80"/>
      <c r="E45" s="80"/>
      <c r="G45" s="80"/>
      <c r="H45" s="80"/>
    </row>
    <row r="46" spans="1:5" ht="12.75">
      <c r="A46" s="68">
        <v>25</v>
      </c>
      <c r="B46" s="72" t="s">
        <v>129</v>
      </c>
      <c r="C46" s="68"/>
      <c r="D46" s="80"/>
      <c r="E46" s="80"/>
    </row>
    <row r="47" spans="1:5" ht="12.75">
      <c r="A47" s="68">
        <v>26</v>
      </c>
      <c r="B47" s="72" t="s">
        <v>237</v>
      </c>
      <c r="C47" s="79"/>
      <c r="D47" s="80"/>
      <c r="E47" s="80"/>
    </row>
    <row r="48" spans="1:5" ht="12.75">
      <c r="A48" s="68">
        <v>31</v>
      </c>
      <c r="B48" s="72" t="s">
        <v>130</v>
      </c>
      <c r="C48" s="79"/>
      <c r="D48" s="80"/>
      <c r="E48" s="80"/>
    </row>
    <row r="49" spans="1:3" ht="12.75">
      <c r="A49" s="68"/>
      <c r="B49" s="65"/>
      <c r="C49" s="79"/>
    </row>
    <row r="50" spans="1:3" ht="12.75">
      <c r="A50" s="152" t="s">
        <v>191</v>
      </c>
      <c r="B50" s="152"/>
      <c r="C50" s="152"/>
    </row>
    <row r="51" spans="1:3" ht="12.75">
      <c r="A51" s="75">
        <v>1</v>
      </c>
      <c r="B51" s="76" t="s">
        <v>133</v>
      </c>
      <c r="C51" s="68"/>
    </row>
    <row r="52" spans="1:3" ht="12.75">
      <c r="A52" s="75">
        <v>5</v>
      </c>
      <c r="B52" s="105" t="s">
        <v>208</v>
      </c>
      <c r="C52" s="68"/>
    </row>
    <row r="53" spans="1:3" ht="12.75">
      <c r="A53" s="68">
        <v>9</v>
      </c>
      <c r="B53" s="72" t="s">
        <v>134</v>
      </c>
      <c r="C53" s="68"/>
    </row>
    <row r="54" spans="1:3" ht="12.75">
      <c r="A54" s="68">
        <v>11</v>
      </c>
      <c r="B54" s="71" t="s">
        <v>219</v>
      </c>
      <c r="C54" s="68"/>
    </row>
    <row r="55" spans="1:3" ht="12.75">
      <c r="A55" s="68">
        <v>14</v>
      </c>
      <c r="B55" s="48" t="s">
        <v>135</v>
      </c>
      <c r="C55" s="68"/>
    </row>
    <row r="56" spans="1:3" ht="12.75">
      <c r="A56" s="68">
        <v>15</v>
      </c>
      <c r="B56" s="77" t="s">
        <v>192</v>
      </c>
      <c r="C56" s="68"/>
    </row>
    <row r="57" spans="1:3" ht="12.75">
      <c r="A57" s="68">
        <v>22</v>
      </c>
      <c r="B57" s="71" t="s">
        <v>136</v>
      </c>
      <c r="C57" s="68"/>
    </row>
    <row r="58" spans="1:3" ht="12.75">
      <c r="A58" s="68">
        <v>23</v>
      </c>
      <c r="B58" s="65" t="s">
        <v>137</v>
      </c>
      <c r="C58" s="68"/>
    </row>
    <row r="59" spans="1:3" ht="12.75">
      <c r="A59" s="68">
        <v>24</v>
      </c>
      <c r="B59" s="72" t="s">
        <v>138</v>
      </c>
      <c r="C59" s="68"/>
    </row>
    <row r="60" spans="1:3" ht="12.75">
      <c r="A60" s="68">
        <v>28</v>
      </c>
      <c r="B60" s="46" t="s">
        <v>139</v>
      </c>
      <c r="C60" s="68"/>
    </row>
    <row r="61" spans="1:3" ht="12.75">
      <c r="A61" s="68">
        <v>29</v>
      </c>
      <c r="B61" s="71" t="s">
        <v>220</v>
      </c>
      <c r="C61" s="68"/>
    </row>
    <row r="62" spans="1:3" ht="12.75">
      <c r="A62" s="68"/>
      <c r="B62" s="68"/>
      <c r="C62" s="68"/>
    </row>
    <row r="63" spans="1:3" ht="12.75">
      <c r="A63" s="152" t="s">
        <v>193</v>
      </c>
      <c r="B63" s="152"/>
      <c r="C63" s="152"/>
    </row>
    <row r="64" spans="1:3" ht="12.75">
      <c r="A64" s="68">
        <v>22</v>
      </c>
      <c r="B64" s="72" t="s">
        <v>221</v>
      </c>
      <c r="C64" s="68"/>
    </row>
    <row r="65" spans="1:3" ht="12.75">
      <c r="A65" s="68">
        <v>25</v>
      </c>
      <c r="B65" s="71" t="s">
        <v>222</v>
      </c>
      <c r="C65" s="68"/>
    </row>
    <row r="66" spans="1:3" ht="12.75">
      <c r="A66" s="68"/>
      <c r="B66" s="65"/>
      <c r="C66" s="68"/>
    </row>
    <row r="67" spans="1:3" ht="12.75">
      <c r="A67" s="152" t="s">
        <v>194</v>
      </c>
      <c r="B67" s="152"/>
      <c r="C67" s="152"/>
    </row>
    <row r="68" spans="1:3" ht="12.75">
      <c r="A68" s="68">
        <v>1</v>
      </c>
      <c r="B68" s="65" t="s">
        <v>195</v>
      </c>
      <c r="C68" s="68"/>
    </row>
    <row r="69" spans="1:3" ht="12.75">
      <c r="A69" s="68">
        <v>6</v>
      </c>
      <c r="B69" s="64" t="s">
        <v>140</v>
      </c>
      <c r="C69" s="68"/>
    </row>
    <row r="70" spans="1:3" ht="12.75">
      <c r="A70" s="68">
        <v>15</v>
      </c>
      <c r="B70" s="64" t="s">
        <v>223</v>
      </c>
      <c r="C70" s="68"/>
    </row>
    <row r="71" spans="1:3" ht="12.75">
      <c r="A71" s="68">
        <v>20</v>
      </c>
      <c r="B71" s="72" t="s">
        <v>142</v>
      </c>
      <c r="C71" s="68"/>
    </row>
    <row r="72" spans="1:3" ht="12.75">
      <c r="A72" s="68">
        <v>24</v>
      </c>
      <c r="B72" s="71" t="s">
        <v>224</v>
      </c>
      <c r="C72" s="68"/>
    </row>
    <row r="73" spans="1:3" ht="12.75">
      <c r="A73" s="68">
        <v>28</v>
      </c>
      <c r="B73" s="72" t="s">
        <v>217</v>
      </c>
      <c r="C73" s="68"/>
    </row>
    <row r="74" spans="1:3" ht="12.75">
      <c r="A74" s="68">
        <v>31</v>
      </c>
      <c r="B74" s="72" t="s">
        <v>143</v>
      </c>
      <c r="C74" s="68"/>
    </row>
    <row r="75" spans="1:3" ht="12.75">
      <c r="A75" s="68"/>
      <c r="B75" s="68"/>
      <c r="C75" s="79"/>
    </row>
    <row r="76" spans="1:3" ht="12.75">
      <c r="A76" s="152" t="s">
        <v>190</v>
      </c>
      <c r="B76" s="152"/>
      <c r="C76" s="152"/>
    </row>
    <row r="77" spans="1:3" ht="12.75">
      <c r="A77" s="68">
        <v>8</v>
      </c>
      <c r="B77" s="72" t="s">
        <v>144</v>
      </c>
      <c r="C77" s="68"/>
    </row>
    <row r="78" spans="1:3" ht="12.75">
      <c r="A78" s="68">
        <v>14</v>
      </c>
      <c r="B78" s="71" t="s">
        <v>145</v>
      </c>
      <c r="C78" s="68"/>
    </row>
    <row r="79" spans="1:3" ht="12.75">
      <c r="A79" s="68">
        <v>21</v>
      </c>
      <c r="B79" s="71" t="s">
        <v>225</v>
      </c>
      <c r="C79" s="68"/>
    </row>
    <row r="80" spans="1:3" ht="12.75">
      <c r="A80" s="68">
        <v>29</v>
      </c>
      <c r="B80" s="64" t="s">
        <v>238</v>
      </c>
      <c r="C80" s="68"/>
    </row>
    <row r="81" spans="1:3" ht="12.75">
      <c r="A81" s="68">
        <v>30</v>
      </c>
      <c r="B81" s="72" t="s">
        <v>146</v>
      </c>
      <c r="C81" s="68"/>
    </row>
    <row r="82" spans="1:3" ht="12.75">
      <c r="A82" s="68"/>
      <c r="B82" s="65"/>
      <c r="C82" s="68"/>
    </row>
    <row r="83" spans="1:3" ht="12.75">
      <c r="A83" s="152" t="s">
        <v>196</v>
      </c>
      <c r="B83" s="152"/>
      <c r="C83" s="152"/>
    </row>
    <row r="84" spans="1:3" ht="12.75">
      <c r="A84" s="68">
        <v>4</v>
      </c>
      <c r="B84" s="72" t="s">
        <v>226</v>
      </c>
      <c r="C84" s="79"/>
    </row>
    <row r="85" spans="1:3" ht="12.75">
      <c r="A85" s="68">
        <v>18</v>
      </c>
      <c r="B85" s="71" t="s">
        <v>227</v>
      </c>
      <c r="C85" s="68"/>
    </row>
    <row r="86" spans="1:3" ht="12.75">
      <c r="A86" s="68">
        <v>23</v>
      </c>
      <c r="B86" s="71" t="s">
        <v>228</v>
      </c>
      <c r="C86" s="68"/>
    </row>
    <row r="87" spans="1:3" ht="12.75">
      <c r="A87" s="68">
        <v>28</v>
      </c>
      <c r="B87" s="71" t="s">
        <v>239</v>
      </c>
      <c r="C87" s="68"/>
    </row>
    <row r="88" spans="1:3" ht="12.75">
      <c r="A88" s="68"/>
      <c r="B88" s="65"/>
      <c r="C88" s="68"/>
    </row>
    <row r="89" spans="1:3" ht="12.75">
      <c r="A89" s="152" t="s">
        <v>197</v>
      </c>
      <c r="B89" s="152"/>
      <c r="C89" s="152"/>
    </row>
    <row r="90" spans="1:3" ht="12.75">
      <c r="A90" s="68">
        <v>1</v>
      </c>
      <c r="B90" s="64" t="s">
        <v>147</v>
      </c>
      <c r="C90" s="68"/>
    </row>
    <row r="91" spans="1:3" ht="12.75">
      <c r="A91" s="68">
        <v>11</v>
      </c>
      <c r="B91" s="64" t="s">
        <v>218</v>
      </c>
      <c r="C91" s="68"/>
    </row>
    <row r="92" spans="1:3" ht="12.75">
      <c r="A92" s="68">
        <v>20</v>
      </c>
      <c r="B92" s="71" t="s">
        <v>148</v>
      </c>
      <c r="C92" s="68"/>
    </row>
    <row r="93" spans="1:3" ht="12.75">
      <c r="A93" s="68">
        <v>30</v>
      </c>
      <c r="B93" s="71" t="s">
        <v>229</v>
      </c>
      <c r="C93" s="68"/>
    </row>
    <row r="94" spans="1:3" ht="12.75">
      <c r="A94" s="68"/>
      <c r="B94" s="68"/>
      <c r="C94" s="68"/>
    </row>
    <row r="95" spans="1:3" ht="12.75">
      <c r="A95" s="152" t="s">
        <v>198</v>
      </c>
      <c r="B95" s="152"/>
      <c r="C95" s="152"/>
    </row>
    <row r="96" spans="1:3" ht="12.75">
      <c r="A96" s="68">
        <v>6</v>
      </c>
      <c r="B96" s="72" t="s">
        <v>149</v>
      </c>
      <c r="C96" s="68"/>
    </row>
    <row r="97" spans="1:3" ht="12.75">
      <c r="A97" s="68">
        <v>8</v>
      </c>
      <c r="B97" s="72" t="s">
        <v>150</v>
      </c>
      <c r="C97" s="68"/>
    </row>
    <row r="98" spans="1:3" ht="12.75">
      <c r="A98" s="68">
        <v>13</v>
      </c>
      <c r="B98" s="71" t="s">
        <v>212</v>
      </c>
      <c r="C98" s="68"/>
    </row>
    <row r="99" spans="1:3" ht="12.75">
      <c r="A99" s="68">
        <v>21</v>
      </c>
      <c r="B99" s="71" t="s">
        <v>230</v>
      </c>
      <c r="C99" s="68"/>
    </row>
    <row r="100" spans="1:3" ht="12.75">
      <c r="A100" s="68">
        <v>25</v>
      </c>
      <c r="B100" s="64" t="s">
        <v>151</v>
      </c>
      <c r="C100" s="68"/>
    </row>
    <row r="101" spans="1:3" ht="12.75">
      <c r="A101" s="68">
        <v>26</v>
      </c>
      <c r="B101" s="71" t="s">
        <v>231</v>
      </c>
      <c r="C101" s="68"/>
    </row>
    <row r="102" spans="1:3" ht="12.75">
      <c r="A102" s="68">
        <v>27</v>
      </c>
      <c r="B102" s="64" t="s">
        <v>232</v>
      </c>
      <c r="C102" s="68"/>
    </row>
    <row r="103" spans="1:3" ht="12.75">
      <c r="A103" s="68">
        <v>28</v>
      </c>
      <c r="B103" s="78" t="s">
        <v>152</v>
      </c>
      <c r="C103" s="68"/>
    </row>
    <row r="104" spans="1:3" ht="12.75">
      <c r="A104" s="68">
        <v>29</v>
      </c>
      <c r="B104" s="78" t="s">
        <v>153</v>
      </c>
      <c r="C104" s="68"/>
    </row>
    <row r="105" spans="1:3" ht="12.75">
      <c r="A105" s="68"/>
      <c r="B105" s="68"/>
      <c r="C105" s="68"/>
    </row>
  </sheetData>
  <sheetProtection/>
  <mergeCells count="12">
    <mergeCell ref="A1:C1"/>
    <mergeCell ref="A16:C16"/>
    <mergeCell ref="A24:C24"/>
    <mergeCell ref="A35:C35"/>
    <mergeCell ref="A76:C76"/>
    <mergeCell ref="A83:C83"/>
    <mergeCell ref="A89:C89"/>
    <mergeCell ref="A95:C95"/>
    <mergeCell ref="A42:C42"/>
    <mergeCell ref="A50:C50"/>
    <mergeCell ref="A63:C63"/>
    <mergeCell ref="A67:C6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7"/>
  <dimension ref="A1:D38"/>
  <sheetViews>
    <sheetView zoomScalePageLayoutView="0" workbookViewId="0" topLeftCell="A1">
      <selection activeCell="D1" sqref="D1"/>
    </sheetView>
  </sheetViews>
  <sheetFormatPr defaultColWidth="9.140625" defaultRowHeight="12.75"/>
  <cols>
    <col min="1" max="1" width="13.421875" style="0" customWidth="1"/>
    <col min="2" max="2" width="21.57421875" style="0" customWidth="1"/>
  </cols>
  <sheetData>
    <row r="1" spans="1:3" ht="12.75">
      <c r="A1" s="87" t="s">
        <v>204</v>
      </c>
      <c r="B1" s="88"/>
      <c r="C1" s="89" t="str">
        <f>ROMAN(Location!B6,0)</f>
        <v>MMX</v>
      </c>
    </row>
    <row r="2" spans="1:3" ht="12.75">
      <c r="A2" s="90">
        <f>A3-1</f>
        <v>40225</v>
      </c>
      <c r="B2" s="107" t="s">
        <v>199</v>
      </c>
      <c r="C2" s="108"/>
    </row>
    <row r="3" spans="1:3" ht="12.75">
      <c r="A3" s="90">
        <f>A10-46</f>
        <v>40226</v>
      </c>
      <c r="B3" s="109" t="s">
        <v>83</v>
      </c>
      <c r="C3" s="110"/>
    </row>
    <row r="4" spans="1:3" ht="12.75">
      <c r="A4" s="90">
        <f>A3+7</f>
        <v>40233</v>
      </c>
      <c r="B4" s="111" t="s">
        <v>211</v>
      </c>
      <c r="C4" s="112"/>
    </row>
    <row r="5" spans="1:3" ht="12.75">
      <c r="A5" s="90">
        <f>A4+2</f>
        <v>40235</v>
      </c>
      <c r="B5" s="111" t="s">
        <v>211</v>
      </c>
      <c r="C5" s="112"/>
    </row>
    <row r="6" spans="1:3" ht="12.75">
      <c r="A6" s="90">
        <f>A5+1</f>
        <v>40236</v>
      </c>
      <c r="B6" s="111" t="s">
        <v>211</v>
      </c>
      <c r="C6" s="112"/>
    </row>
    <row r="7" spans="1:3" ht="12.75">
      <c r="A7" s="90">
        <f>A10-7</f>
        <v>40265</v>
      </c>
      <c r="B7" s="113" t="s">
        <v>157</v>
      </c>
      <c r="C7" s="114"/>
    </row>
    <row r="8" spans="1:3" ht="12.75">
      <c r="A8" s="90">
        <f>A9-1</f>
        <v>40269</v>
      </c>
      <c r="B8" s="113" t="s">
        <v>200</v>
      </c>
      <c r="C8" s="114"/>
    </row>
    <row r="9" spans="1:3" ht="12.75">
      <c r="A9" s="90">
        <f>A10-2</f>
        <v>40270</v>
      </c>
      <c r="B9" s="115" t="s">
        <v>123</v>
      </c>
      <c r="C9" s="116"/>
    </row>
    <row r="10" spans="1:3" ht="12.75">
      <c r="A10" s="90">
        <f>EasterSunday(Location!$B$6)</f>
        <v>40272</v>
      </c>
      <c r="B10" s="117" t="s">
        <v>121</v>
      </c>
      <c r="C10" s="118"/>
    </row>
    <row r="11" spans="1:3" ht="12.75">
      <c r="A11" s="90">
        <f>A12-1</f>
        <v>40308</v>
      </c>
      <c r="B11" s="109" t="s">
        <v>213</v>
      </c>
      <c r="C11" s="110"/>
    </row>
    <row r="12" spans="1:3" ht="12.75">
      <c r="A12" s="90">
        <f>A13-1</f>
        <v>40309</v>
      </c>
      <c r="B12" s="109" t="s">
        <v>213</v>
      </c>
      <c r="C12" s="110"/>
    </row>
    <row r="13" spans="1:3" ht="12.75">
      <c r="A13" s="90">
        <f>A14-1</f>
        <v>40310</v>
      </c>
      <c r="B13" s="109" t="s">
        <v>213</v>
      </c>
      <c r="C13" s="110"/>
    </row>
    <row r="14" spans="1:3" ht="12.75">
      <c r="A14" s="90">
        <f>A15-10</f>
        <v>40311</v>
      </c>
      <c r="B14" s="117" t="s">
        <v>201</v>
      </c>
      <c r="C14" s="118"/>
    </row>
    <row r="15" spans="1:3" ht="12.75">
      <c r="A15" s="90">
        <f>A10+49</f>
        <v>40321</v>
      </c>
      <c r="B15" s="113" t="s">
        <v>209</v>
      </c>
      <c r="C15" s="114"/>
    </row>
    <row r="16" spans="1:3" ht="12.75">
      <c r="A16" s="90">
        <f>A15+3</f>
        <v>40324</v>
      </c>
      <c r="B16" s="111" t="s">
        <v>211</v>
      </c>
      <c r="C16" s="112"/>
    </row>
    <row r="17" spans="1:3" ht="12.75">
      <c r="A17" s="90">
        <f>A16+2</f>
        <v>40326</v>
      </c>
      <c r="B17" s="111" t="s">
        <v>211</v>
      </c>
      <c r="C17" s="112"/>
    </row>
    <row r="18" spans="1:3" ht="12.75">
      <c r="A18" s="90">
        <f>A17+1</f>
        <v>40327</v>
      </c>
      <c r="B18" s="111" t="s">
        <v>211</v>
      </c>
      <c r="C18" s="112"/>
    </row>
    <row r="19" spans="1:3" ht="12.75">
      <c r="A19" s="90">
        <f>A15+7</f>
        <v>40328</v>
      </c>
      <c r="B19" s="117" t="s">
        <v>202</v>
      </c>
      <c r="C19" s="118"/>
    </row>
    <row r="20" spans="1:3" ht="12.75">
      <c r="A20" s="90">
        <f>A15+11</f>
        <v>40332</v>
      </c>
      <c r="B20" s="117" t="s">
        <v>203</v>
      </c>
      <c r="C20" s="118"/>
    </row>
    <row r="21" spans="1:4" ht="12.75">
      <c r="A21" s="90">
        <f>IF(September!$B$16="Tuesday",D21+1,IF(September!$B$16="Monday",D21+2,IF(September!$B$16="Sunday",D21+3,IF(September!$B$16="Saturday",D21+4,IF(September!$B$16="Friday",D21+5,IF(September!$B$16="Thursday",D21+6,IF(September!$B$16="Wednesday",D21+7)))))))</f>
        <v>38245</v>
      </c>
      <c r="B21" s="111" t="s">
        <v>211</v>
      </c>
      <c r="C21" s="112"/>
      <c r="D21" s="91">
        <v>38244</v>
      </c>
    </row>
    <row r="22" spans="1:3" ht="12.75">
      <c r="A22" s="90">
        <f>A21+2</f>
        <v>38247</v>
      </c>
      <c r="B22" s="111" t="s">
        <v>211</v>
      </c>
      <c r="C22" s="112"/>
    </row>
    <row r="23" spans="1:3" ht="12.75">
      <c r="A23" s="90">
        <f>A22+1</f>
        <v>38248</v>
      </c>
      <c r="B23" s="111" t="s">
        <v>211</v>
      </c>
      <c r="C23" s="112"/>
    </row>
    <row r="24" spans="1:4" ht="12.75">
      <c r="A24" s="90">
        <f>IF(December!$B$27="Monday",D24-22,IF(December!$B$27="Tuesday",D24-23,IF(December!$B$27="Wednesday",D24-24,IF(December!$B$27="Thursday",D24-25,IF(December!$B$27="Friday",D24-26,IF(December!$B$27="Saturday",D24-27,IF(December!$B$27="Sunday",D24-28)))))))</f>
        <v>38319</v>
      </c>
      <c r="B24" s="109" t="s">
        <v>210</v>
      </c>
      <c r="C24" s="110"/>
      <c r="D24" s="91">
        <v>38346</v>
      </c>
    </row>
    <row r="25" spans="1:4" ht="12.75">
      <c r="A25" s="90">
        <f>IF(December!$B$15="Tuesday",D25+1,IF(December!$B$15="Monday",D25+2,IF(December!$B$15="Sunday",D25+3,IF(December!$B$15="Saturday",D25+4,IF(December!$B$15="Friday",D25+5,IF(December!$B$15="Thursday",D25+6,IF(December!$B$15="Wednesday",D25+7)))))))</f>
        <v>38336</v>
      </c>
      <c r="B25" s="111" t="s">
        <v>211</v>
      </c>
      <c r="C25" s="112"/>
      <c r="D25" s="91">
        <v>38334</v>
      </c>
    </row>
    <row r="26" spans="1:3" ht="12.75">
      <c r="A26" s="90">
        <f>A25+2</f>
        <v>38338</v>
      </c>
      <c r="B26" s="111" t="s">
        <v>211</v>
      </c>
      <c r="C26" s="112"/>
    </row>
    <row r="27" spans="1:3" ht="12.75">
      <c r="A27" s="90">
        <f>A26+1</f>
        <v>38339</v>
      </c>
      <c r="B27" s="111" t="s">
        <v>211</v>
      </c>
      <c r="C27" s="112"/>
    </row>
    <row r="28" ht="12.75">
      <c r="A28" s="1"/>
    </row>
    <row r="29" ht="12.75">
      <c r="A29" s="1"/>
    </row>
    <row r="30" ht="12.75">
      <c r="A30" s="1"/>
    </row>
    <row r="31" ht="12.75">
      <c r="A31" s="1"/>
    </row>
    <row r="32" ht="12.75">
      <c r="A32" s="82"/>
    </row>
    <row r="33" ht="12.75">
      <c r="A33" s="82"/>
    </row>
    <row r="34" ht="12.75">
      <c r="A34" s="1"/>
    </row>
    <row r="35" ht="12.75">
      <c r="A35" s="1"/>
    </row>
    <row r="36" ht="12.75">
      <c r="A36" s="1"/>
    </row>
    <row r="37" ht="12.75">
      <c r="A37" s="1"/>
    </row>
    <row r="38" ht="12.75">
      <c r="A38" s="1"/>
    </row>
  </sheetData>
  <sheetProtection/>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5"/>
  <dimension ref="A1:J18"/>
  <sheetViews>
    <sheetView zoomScalePageLayoutView="0" workbookViewId="0" topLeftCell="A1">
      <selection activeCell="B7" sqref="B7"/>
    </sheetView>
  </sheetViews>
  <sheetFormatPr defaultColWidth="9.140625" defaultRowHeight="12.75"/>
  <cols>
    <col min="1" max="1" width="13.57421875" style="0" customWidth="1"/>
    <col min="2" max="2" width="12.57421875" style="0" customWidth="1"/>
    <col min="3" max="3" width="14.28125" style="0" bestFit="1" customWidth="1"/>
  </cols>
  <sheetData>
    <row r="1" spans="1:10" ht="12.75">
      <c r="A1" s="21" t="s">
        <v>154</v>
      </c>
      <c r="B1" s="20"/>
      <c r="C1" s="20"/>
      <c r="D1" s="20"/>
      <c r="E1" s="20"/>
      <c r="F1" s="20"/>
      <c r="G1" s="20"/>
      <c r="H1" s="20"/>
      <c r="I1" s="20"/>
      <c r="J1" s="22"/>
    </row>
    <row r="2" spans="1:10" ht="12.75">
      <c r="A2" s="20"/>
      <c r="B2" s="20" t="s">
        <v>215</v>
      </c>
      <c r="C2" s="20"/>
      <c r="D2" s="20"/>
      <c r="E2" s="20"/>
      <c r="F2" s="20"/>
      <c r="G2" s="20"/>
      <c r="H2" s="20"/>
      <c r="I2" s="20"/>
      <c r="J2" s="22"/>
    </row>
    <row r="3" spans="1:10" ht="12.75">
      <c r="A3" s="23" t="s">
        <v>84</v>
      </c>
      <c r="B3" s="41" t="s">
        <v>167</v>
      </c>
      <c r="C3" s="24" t="s">
        <v>155</v>
      </c>
      <c r="D3" s="24"/>
      <c r="E3" s="24"/>
      <c r="F3" s="24"/>
      <c r="G3" s="24"/>
      <c r="H3" s="24"/>
      <c r="I3" s="24"/>
      <c r="J3" s="24"/>
    </row>
    <row r="4" spans="1:10" ht="12.75">
      <c r="A4" s="23" t="s">
        <v>85</v>
      </c>
      <c r="B4" s="41">
        <v>29.5753</v>
      </c>
      <c r="C4" s="24" t="s">
        <v>156</v>
      </c>
      <c r="D4" s="24"/>
      <c r="E4" s="24"/>
      <c r="F4" s="24"/>
      <c r="G4" s="24"/>
      <c r="H4" s="24"/>
      <c r="I4" s="24"/>
      <c r="J4" s="24"/>
    </row>
    <row r="5" spans="1:10" ht="12.75">
      <c r="A5" s="23" t="s">
        <v>86</v>
      </c>
      <c r="B5" s="41">
        <v>-95.149</v>
      </c>
      <c r="C5" s="24" t="s">
        <v>158</v>
      </c>
      <c r="D5" s="24"/>
      <c r="E5" s="24"/>
      <c r="F5" s="24"/>
      <c r="G5" s="24"/>
      <c r="H5" s="24"/>
      <c r="I5" s="24"/>
      <c r="J5" s="24"/>
    </row>
    <row r="6" spans="1:10" ht="12.75">
      <c r="A6" s="23" t="s">
        <v>87</v>
      </c>
      <c r="B6" s="41">
        <v>2010</v>
      </c>
      <c r="C6" s="24" t="s">
        <v>214</v>
      </c>
      <c r="D6" s="24"/>
      <c r="E6" s="24"/>
      <c r="F6" s="24"/>
      <c r="G6" s="24"/>
      <c r="H6" s="24"/>
      <c r="I6" s="24"/>
      <c r="J6" s="24"/>
    </row>
    <row r="7" spans="1:10" ht="12.75">
      <c r="A7" s="23" t="s">
        <v>88</v>
      </c>
      <c r="B7" s="41">
        <v>-6</v>
      </c>
      <c r="C7" s="24" t="s">
        <v>159</v>
      </c>
      <c r="D7" s="24"/>
      <c r="E7" s="24"/>
      <c r="F7" s="24"/>
      <c r="G7" s="24"/>
      <c r="H7" s="24"/>
      <c r="I7" s="24"/>
      <c r="J7" s="24"/>
    </row>
    <row r="8" spans="1:10" ht="12.75">
      <c r="A8" s="23" t="s">
        <v>206</v>
      </c>
      <c r="B8" s="41" t="s">
        <v>207</v>
      </c>
      <c r="C8" s="24" t="s">
        <v>240</v>
      </c>
      <c r="D8" s="24"/>
      <c r="E8" s="24"/>
      <c r="F8" s="24"/>
      <c r="G8" s="24"/>
      <c r="H8" s="24"/>
      <c r="I8" s="24"/>
      <c r="J8" s="24"/>
    </row>
    <row r="9" spans="1:2" ht="12.75">
      <c r="A9" s="23" t="s">
        <v>180</v>
      </c>
      <c r="B9" s="54" t="str">
        <f>IF(OR(MOD($B$6,400)=0,AND(MOD($B$6,4)=0,MOD($B$6,100)&lt;&gt;0)),"Yes","No")</f>
        <v>No</v>
      </c>
    </row>
    <row r="10" ht="12.75">
      <c r="F10" s="66"/>
    </row>
    <row r="11" spans="1:8" ht="12.75">
      <c r="A11" s="29"/>
      <c r="B11" s="30" t="s">
        <v>205</v>
      </c>
      <c r="C11" s="38">
        <f>EasterSunday($B$6)</f>
        <v>40272</v>
      </c>
      <c r="H11" s="56"/>
    </row>
    <row r="12" spans="1:4" ht="12.75">
      <c r="A12" s="31"/>
      <c r="B12" s="32" t="s">
        <v>160</v>
      </c>
      <c r="C12" s="33">
        <f>1+MOD($B$6,19)</f>
        <v>16</v>
      </c>
      <c r="D12" s="57"/>
    </row>
    <row r="13" spans="1:4" ht="12.75">
      <c r="A13" s="31"/>
      <c r="B13" s="32" t="s">
        <v>166</v>
      </c>
      <c r="C13" s="33" t="str">
        <f>IF($D$13=6,"A",IF($D$13=5,"B",IF($D$13=4,"C",IF($D$13=3,"D",IF($D$13=2,"E",IF($D$13=1,"F",IF($D$13=0,"G")))))))</f>
        <v>C</v>
      </c>
      <c r="D13" s="40">
        <f>IF(B9="No",MOD((B6+1)+QUOTIENT(B6,4)+QUOTIENT((QUOTIENT(B6,100)-16),4)-(QUOTIENT(B6,100)-16),7),MOD((B6)+QUOTIENT(B6,4)+QUOTIENT((QUOTIENT(B6,100)-16),4)-(QUOTIENT(B6,100)-16),7))</f>
        <v>4</v>
      </c>
    </row>
    <row r="14" spans="1:4" ht="12.75">
      <c r="A14" s="31"/>
      <c r="B14" s="55">
        <f>IF(B9="Yes","After 24 Feb the Letter is","")</f>
      </c>
      <c r="C14" s="33" t="str">
        <f>IF($D$13=6,"G",IF($D$13=5,"A",IF($D$13=4,"B",IF($D$13=3,"C",IF($D$13=2,"D",IF($D$13=1,"E",IF($D$13=0,"F")))))))</f>
        <v>B</v>
      </c>
      <c r="D14" s="52"/>
    </row>
    <row r="15" ht="13.5" thickBot="1"/>
    <row r="16" spans="1:4" ht="12.75">
      <c r="A16" s="153" t="s">
        <v>161</v>
      </c>
      <c r="B16" s="154"/>
      <c r="C16" s="154"/>
      <c r="D16" s="155"/>
    </row>
    <row r="17" spans="1:4" ht="12.75">
      <c r="A17" s="34" t="s">
        <v>165</v>
      </c>
      <c r="B17" s="35" t="s">
        <v>162</v>
      </c>
      <c r="C17" s="35" t="s">
        <v>163</v>
      </c>
      <c r="D17" s="36" t="s">
        <v>164</v>
      </c>
    </row>
    <row r="18" spans="1:4" ht="13.5" thickBot="1">
      <c r="A18" s="42"/>
      <c r="B18" s="43"/>
      <c r="C18" s="43"/>
      <c r="D18" s="37">
        <f>IF(A18="","",A18+(B18/60)+(C18/3600))</f>
      </c>
    </row>
  </sheetData>
  <sheetProtection/>
  <mergeCells count="1">
    <mergeCell ref="A16:D16"/>
  </mergeCells>
  <conditionalFormatting sqref="A14:C14">
    <cfRule type="expression" priority="1" dxfId="0" stopIfTrue="1">
      <formula>$B$9="No"</formula>
    </cfRule>
  </conditionalFormatting>
  <dataValidations count="1">
    <dataValidation type="whole" allowBlank="1" showInputMessage="1" showErrorMessage="1" sqref="B6">
      <formula1>1900</formula1>
      <formula2>2099</formula2>
    </dataValidation>
  </dataValidation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3:B3"/>
  <sheetViews>
    <sheetView showGridLines="0" zoomScalePageLayoutView="0" workbookViewId="0" topLeftCell="A1">
      <selection activeCell="N4" sqref="N4"/>
    </sheetView>
  </sheetViews>
  <sheetFormatPr defaultColWidth="9.140625" defaultRowHeight="12.75"/>
  <cols>
    <col min="1" max="4" width="12.7109375" style="1" customWidth="1"/>
    <col min="5" max="16384" width="9.140625" style="1" customWidth="1"/>
  </cols>
  <sheetData>
    <row r="1" ht="12.75"/>
    <row r="2" ht="12.75"/>
    <row r="3" spans="1:2" ht="12.75" customHeight="1">
      <c r="A3" s="39"/>
      <c r="B3" s="39"/>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sheetProtection/>
  <printOptions horizontalCentered="1" verticalCentered="1"/>
  <pageMargins left="0.75" right="0.75" top="1" bottom="1" header="0.5" footer="0.5"/>
  <pageSetup fitToHeight="1" fitToWidth="1" horizontalDpi="600" verticalDpi="600" orientation="portrait" scale="85" r:id="rId2"/>
  <headerFooter alignWithMargins="0">
    <oddFooter>&amp;C&amp;F, &amp;D</oddFooter>
  </headerFooter>
  <drawing r:id="rId1"/>
</worksheet>
</file>

<file path=xl/worksheets/sheet17.xml><?xml version="1.0" encoding="utf-8"?>
<worksheet xmlns="http://schemas.openxmlformats.org/spreadsheetml/2006/main" xmlns:r="http://schemas.openxmlformats.org/officeDocument/2006/relationships">
  <sheetPr codeName="Sheet1">
    <pageSetUpPr fitToPage="1"/>
  </sheetPr>
  <dimension ref="A3:B3"/>
  <sheetViews>
    <sheetView showGridLines="0" zoomScalePageLayoutView="0" workbookViewId="0" topLeftCell="A1">
      <selection activeCell="R1" sqref="R1"/>
    </sheetView>
  </sheetViews>
  <sheetFormatPr defaultColWidth="9.140625" defaultRowHeight="12.75"/>
  <cols>
    <col min="1" max="4" width="12.7109375" style="1" customWidth="1"/>
    <col min="5" max="16384" width="9.140625" style="1" customWidth="1"/>
  </cols>
  <sheetData>
    <row r="1" ht="12.75"/>
    <row r="2" ht="12.75"/>
    <row r="3" spans="1:2" ht="12.75" customHeight="1">
      <c r="A3" s="39"/>
      <c r="B3" s="39"/>
    </row>
    <row r="4" ht="12.75"/>
    <row r="5" ht="12.75"/>
    <row r="6" ht="12.75"/>
    <row r="7" ht="12.75"/>
    <row r="8"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sheetData>
  <sheetProtection/>
  <printOptions horizontalCentered="1" verticalCentered="1"/>
  <pageMargins left="0.75" right="0.75" top="1" bottom="1" header="0.5" footer="0.5"/>
  <pageSetup fitToHeight="1" fitToWidth="1" horizontalDpi="600" verticalDpi="600" orientation="portrait" r:id="rId2"/>
  <headerFooter alignWithMargins="0">
    <oddFooter>&amp;C&amp;F, &amp;D</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U196"/>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G30" sqref="G30"/>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169</v>
      </c>
      <c r="B1" s="122"/>
      <c r="C1" s="122"/>
      <c r="D1" s="122"/>
      <c r="E1" s="123" t="str">
        <f>ROMAN(Location!$B$6)</f>
        <v>MMX</v>
      </c>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Ianuarius!B27</f>
        <v>Monday</v>
      </c>
      <c r="C3" s="59"/>
      <c r="D3" s="7"/>
      <c r="E3" s="8" t="s">
        <v>26</v>
      </c>
      <c r="F3" s="6" t="s">
        <v>18</v>
      </c>
      <c r="G3" s="45" t="s">
        <v>184</v>
      </c>
      <c r="H3" s="9">
        <f aca="true" t="shared" si="0" ref="H3:H30">(T3/2)+Q3-"12:00:00"</f>
        <v>12.023882267715338</v>
      </c>
      <c r="I3" s="9">
        <f aca="true" t="shared" si="1" ref="I3:I30">H3+((J3-H3)/2)</f>
        <v>6.161312873486802</v>
      </c>
      <c r="J3" s="9">
        <f aca="true" t="shared" si="2" ref="J3:J30">P3</f>
        <v>0.29874347925826417</v>
      </c>
      <c r="K3" s="9">
        <f aca="true" t="shared" si="3" ref="K3:K30">J3+((L3-J3)/2)</f>
        <v>0.4113128734868016</v>
      </c>
      <c r="L3" s="9">
        <f aca="true" t="shared" si="4" ref="L3:L30">(R3/2)+J3</f>
        <v>0.5238822677153391</v>
      </c>
      <c r="M3" s="9">
        <f aca="true" t="shared" si="5" ref="M3:M30">((N3-L3)/2)+L3</f>
        <v>0.6364516619438765</v>
      </c>
      <c r="N3" s="9">
        <f aca="true" t="shared" si="6" ref="N3:N30">Q3</f>
        <v>0.749021056172414</v>
      </c>
      <c r="O3" s="9">
        <f aca="true" t="shared" si="7" ref="O3:O30">3*U3+N3</f>
        <v>0.8864516619438765</v>
      </c>
      <c r="P3" s="9">
        <f>sunrise(Location!$B$4,Location!$B$5,Location!$B$6,2,A3,Location!$B$7,0)</f>
        <v>0.29874347925826417</v>
      </c>
      <c r="Q3" s="9">
        <f>sunset(Location!$B$4,Location!$B$5,Location!$B$6,2,A3,Location!$B$7,0)</f>
        <v>0.749021056172414</v>
      </c>
      <c r="R3" s="9">
        <f aca="true" t="shared" si="8" ref="R3:R30">Q3-P3</f>
        <v>0.4502775769141498</v>
      </c>
      <c r="S3" s="10">
        <f aca="true" t="shared" si="9" ref="S3:S30">R3/12</f>
        <v>0.03752313140951249</v>
      </c>
      <c r="T3" s="9">
        <f aca="true" t="shared" si="10" ref="T3:T30">(24-(Q3-P3))</f>
        <v>23.54972242308585</v>
      </c>
      <c r="U3" s="10">
        <f aca="true" t="shared" si="11" ref="U3:U30">"1:00:00"-S3+"1:00:00"</f>
        <v>0.04581020192382084</v>
      </c>
    </row>
    <row r="4" spans="1:21" ht="12.75">
      <c r="A4" s="5">
        <v>2</v>
      </c>
      <c r="B4" s="6" t="str">
        <f>Ianuarius!B28</f>
        <v>Tuesday</v>
      </c>
      <c r="C4" s="59"/>
      <c r="D4" s="95" t="s">
        <v>64</v>
      </c>
      <c r="E4" s="8" t="s">
        <v>29</v>
      </c>
      <c r="F4" s="6" t="s">
        <v>22</v>
      </c>
      <c r="G4" s="48" t="s">
        <v>79</v>
      </c>
      <c r="H4" s="9">
        <f t="shared" si="0"/>
        <v>12.023969592905523</v>
      </c>
      <c r="I4" s="9">
        <f t="shared" si="1"/>
        <v>6.1611515501429475</v>
      </c>
      <c r="J4" s="9">
        <f t="shared" si="2"/>
        <v>0.29833350738037273</v>
      </c>
      <c r="K4" s="9">
        <f t="shared" si="3"/>
        <v>0.41115155014294746</v>
      </c>
      <c r="L4" s="9">
        <f t="shared" si="4"/>
        <v>0.5239695929055223</v>
      </c>
      <c r="M4" s="9">
        <f t="shared" si="5"/>
        <v>0.636787635668097</v>
      </c>
      <c r="N4" s="9">
        <f t="shared" si="6"/>
        <v>0.7496056784306717</v>
      </c>
      <c r="O4" s="9">
        <f t="shared" si="7"/>
        <v>0.8867876356680969</v>
      </c>
      <c r="P4" s="9">
        <f>sunrise(Location!$B$4,Location!$B$5,Location!$B$6,2,A4,Location!$B$7,0)</f>
        <v>0.29833350738037273</v>
      </c>
      <c r="Q4" s="9">
        <f>sunset(Location!$B$4,Location!$B$5,Location!$B$6,2,A4,Location!$B$7,0)</f>
        <v>0.7496056784306717</v>
      </c>
      <c r="R4" s="9">
        <f t="shared" si="8"/>
        <v>0.451272171050299</v>
      </c>
      <c r="S4" s="10">
        <f t="shared" si="9"/>
        <v>0.037606014254191585</v>
      </c>
      <c r="T4" s="9">
        <f t="shared" si="10"/>
        <v>23.5487278289497</v>
      </c>
      <c r="U4" s="10">
        <f t="shared" si="11"/>
        <v>0.045727319079141744</v>
      </c>
    </row>
    <row r="5" spans="1:21" ht="12.75">
      <c r="A5" s="5">
        <v>3</v>
      </c>
      <c r="B5" s="6" t="str">
        <f>Ianuarius!B29</f>
        <v>Wednesday</v>
      </c>
      <c r="C5" s="59"/>
      <c r="D5" s="95" t="s">
        <v>67</v>
      </c>
      <c r="E5" s="8" t="s">
        <v>32</v>
      </c>
      <c r="F5" s="6" t="s">
        <v>25</v>
      </c>
      <c r="G5" s="83"/>
      <c r="H5" s="9">
        <f t="shared" si="0"/>
        <v>12.024047352601402</v>
      </c>
      <c r="I5" s="9">
        <f t="shared" si="1"/>
        <v>6.160977337398143</v>
      </c>
      <c r="J5" s="9">
        <f t="shared" si="2"/>
        <v>0.2979073221948845</v>
      </c>
      <c r="K5" s="9">
        <f t="shared" si="3"/>
        <v>0.41097733739814324</v>
      </c>
      <c r="L5" s="9">
        <f t="shared" si="4"/>
        <v>0.5240473526014019</v>
      </c>
      <c r="M5" s="9">
        <f t="shared" si="5"/>
        <v>0.6371173678046606</v>
      </c>
      <c r="N5" s="9">
        <f t="shared" si="6"/>
        <v>0.7501873830079192</v>
      </c>
      <c r="O5" s="9">
        <f t="shared" si="7"/>
        <v>0.8871173678046606</v>
      </c>
      <c r="P5" s="9">
        <f>sunrise(Location!$B$4,Location!$B$5,Location!$B$6,2,A5,Location!$B$7,0)</f>
        <v>0.2979073221948845</v>
      </c>
      <c r="Q5" s="9">
        <f>sunset(Location!$B$4,Location!$B$5,Location!$B$6,2,A5,Location!$B$7,0)</f>
        <v>0.7501873830079192</v>
      </c>
      <c r="R5" s="9">
        <f t="shared" si="8"/>
        <v>0.4522800608130347</v>
      </c>
      <c r="S5" s="10">
        <f t="shared" si="9"/>
        <v>0.03769000506775289</v>
      </c>
      <c r="T5" s="9">
        <f t="shared" si="10"/>
        <v>23.547719939186965</v>
      </c>
      <c r="U5" s="10">
        <f t="shared" si="11"/>
        <v>0.045643328265580436</v>
      </c>
    </row>
    <row r="6" spans="1:21" ht="12.75">
      <c r="A6" s="5">
        <v>4</v>
      </c>
      <c r="B6" s="6" t="str">
        <f>Ianuarius!B30</f>
        <v>Thursday</v>
      </c>
      <c r="C6" s="59"/>
      <c r="D6" s="95" t="s">
        <v>69</v>
      </c>
      <c r="E6" s="8" t="s">
        <v>36</v>
      </c>
      <c r="F6" s="6" t="s">
        <v>27</v>
      </c>
      <c r="G6" s="83"/>
      <c r="H6" s="9">
        <f t="shared" si="0"/>
        <v>12.024115569477758</v>
      </c>
      <c r="I6" s="9">
        <f t="shared" si="1"/>
        <v>6.160790376089644</v>
      </c>
      <c r="J6" s="9">
        <f t="shared" si="2"/>
        <v>0.29746518270153105</v>
      </c>
      <c r="K6" s="9">
        <f t="shared" si="3"/>
        <v>0.4107903760896443</v>
      </c>
      <c r="L6" s="9">
        <f t="shared" si="4"/>
        <v>0.5241155694777576</v>
      </c>
      <c r="M6" s="9">
        <f t="shared" si="5"/>
        <v>0.6374407628658709</v>
      </c>
      <c r="N6" s="9">
        <f t="shared" si="6"/>
        <v>0.7507659562539842</v>
      </c>
      <c r="O6" s="9">
        <f t="shared" si="7"/>
        <v>0.8874407628658709</v>
      </c>
      <c r="P6" s="9">
        <f>sunrise(Location!$B$4,Location!$B$5,Location!$B$6,2,A6,Location!$B$7,0)</f>
        <v>0.29746518270153105</v>
      </c>
      <c r="Q6" s="9">
        <f>sunset(Location!$B$4,Location!$B$5,Location!$B$6,2,A6,Location!$B$7,0)</f>
        <v>0.7507659562539842</v>
      </c>
      <c r="R6" s="9">
        <f t="shared" si="8"/>
        <v>0.4533007735524532</v>
      </c>
      <c r="S6" s="10">
        <f t="shared" si="9"/>
        <v>0.037775064462704434</v>
      </c>
      <c r="T6" s="9">
        <f t="shared" si="10"/>
        <v>23.546699226447547</v>
      </c>
      <c r="U6" s="10">
        <f t="shared" si="11"/>
        <v>0.045558268870628894</v>
      </c>
    </row>
    <row r="7" spans="1:21" ht="12.75">
      <c r="A7" s="5">
        <v>5</v>
      </c>
      <c r="B7" s="6" t="str">
        <f>Ianuarius!B31</f>
        <v>Friday</v>
      </c>
      <c r="C7" s="59"/>
      <c r="D7" s="7"/>
      <c r="E7" s="8" t="s">
        <v>17</v>
      </c>
      <c r="F7" s="6" t="s">
        <v>30</v>
      </c>
      <c r="G7" s="83"/>
      <c r="H7" s="9">
        <f t="shared" si="0"/>
        <v>12.024174277819535</v>
      </c>
      <c r="I7" s="9">
        <f t="shared" si="1"/>
        <v>6.160590816718843</v>
      </c>
      <c r="J7" s="9">
        <f t="shared" si="2"/>
        <v>0.29700735561814995</v>
      </c>
      <c r="K7" s="9">
        <f t="shared" si="3"/>
        <v>0.4105908167188426</v>
      </c>
      <c r="L7" s="9">
        <f t="shared" si="4"/>
        <v>0.5241742778195353</v>
      </c>
      <c r="M7" s="9">
        <f t="shared" si="5"/>
        <v>0.6377577389202279</v>
      </c>
      <c r="N7" s="9">
        <f t="shared" si="6"/>
        <v>0.7513412000209205</v>
      </c>
      <c r="O7" s="9">
        <f t="shared" si="7"/>
        <v>0.8877577389202278</v>
      </c>
      <c r="P7" s="9">
        <f>sunrise(Location!$B$4,Location!$B$5,Location!$B$6,2,A7,Location!$B$7,0)</f>
        <v>0.29700735561814995</v>
      </c>
      <c r="Q7" s="9">
        <f>sunset(Location!$B$4,Location!$B$5,Location!$B$6,2,A7,Location!$B$7,0)</f>
        <v>0.7513412000209205</v>
      </c>
      <c r="R7" s="9">
        <f t="shared" si="8"/>
        <v>0.4543338444027706</v>
      </c>
      <c r="S7" s="10">
        <f t="shared" si="9"/>
        <v>0.03786115370023088</v>
      </c>
      <c r="T7" s="9">
        <f t="shared" si="10"/>
        <v>23.545666155597228</v>
      </c>
      <c r="U7" s="10">
        <f t="shared" si="11"/>
        <v>0.04547217963310245</v>
      </c>
    </row>
    <row r="8" spans="1:21" ht="12.75">
      <c r="A8" s="5">
        <v>6</v>
      </c>
      <c r="B8" s="6" t="str">
        <f>Ianuarius!B32</f>
        <v>Saturday</v>
      </c>
      <c r="C8" s="59"/>
      <c r="D8" s="95" t="s">
        <v>72</v>
      </c>
      <c r="E8" s="8" t="s">
        <v>21</v>
      </c>
      <c r="F8" s="6" t="s">
        <v>33</v>
      </c>
      <c r="G8" s="83"/>
      <c r="H8" s="9">
        <f t="shared" si="0"/>
        <v>12.024223523263133</v>
      </c>
      <c r="I8" s="9">
        <f t="shared" si="1"/>
        <v>6.1603788191081055</v>
      </c>
      <c r="J8" s="9">
        <f t="shared" si="2"/>
        <v>0.29653411495307697</v>
      </c>
      <c r="K8" s="9">
        <f t="shared" si="3"/>
        <v>0.41037881910810436</v>
      </c>
      <c r="L8" s="9">
        <f t="shared" si="4"/>
        <v>0.5242235232631318</v>
      </c>
      <c r="M8" s="9">
        <f t="shared" si="5"/>
        <v>0.6380682274181593</v>
      </c>
      <c r="N8" s="9">
        <f t="shared" si="6"/>
        <v>0.7519129315731867</v>
      </c>
      <c r="O8" s="9">
        <f t="shared" si="7"/>
        <v>0.8880682274181593</v>
      </c>
      <c r="P8" s="9">
        <f>sunrise(Location!$B$4,Location!$B$5,Location!$B$6,2,A8,Location!$B$7,0)</f>
        <v>0.29653411495307697</v>
      </c>
      <c r="Q8" s="9">
        <f>sunset(Location!$B$4,Location!$B$5,Location!$B$6,2,A8,Location!$B$7,0)</f>
        <v>0.7519129315731867</v>
      </c>
      <c r="R8" s="9">
        <f t="shared" si="8"/>
        <v>0.45537881662010976</v>
      </c>
      <c r="S8" s="10">
        <f t="shared" si="9"/>
        <v>0.03794823471834248</v>
      </c>
      <c r="T8" s="9">
        <f t="shared" si="10"/>
        <v>23.544621183379892</v>
      </c>
      <c r="U8" s="10">
        <f t="shared" si="11"/>
        <v>0.04538509861499085</v>
      </c>
    </row>
    <row r="9" spans="1:21" ht="12.75">
      <c r="A9" s="5">
        <v>7</v>
      </c>
      <c r="B9" s="6" t="str">
        <f>Ianuarius!B33</f>
        <v>Sunday</v>
      </c>
      <c r="C9" s="59"/>
      <c r="D9" s="95" t="s">
        <v>75</v>
      </c>
      <c r="E9" s="8" t="s">
        <v>24</v>
      </c>
      <c r="F9" s="6" t="s">
        <v>37</v>
      </c>
      <c r="G9" s="83" t="s">
        <v>269</v>
      </c>
      <c r="H9" s="9">
        <f t="shared" si="0"/>
        <v>12.024263362523644</v>
      </c>
      <c r="I9" s="9">
        <f t="shared" si="1"/>
        <v>6.1601545520545</v>
      </c>
      <c r="J9" s="9">
        <f t="shared" si="2"/>
        <v>0.29604574158535607</v>
      </c>
      <c r="K9" s="9">
        <f t="shared" si="3"/>
        <v>0.41015455205450047</v>
      </c>
      <c r="L9" s="9">
        <f t="shared" si="4"/>
        <v>0.5242633625236448</v>
      </c>
      <c r="M9" s="9">
        <f t="shared" si="5"/>
        <v>0.6383721729927891</v>
      </c>
      <c r="N9" s="9">
        <f t="shared" si="6"/>
        <v>0.7524809834619335</v>
      </c>
      <c r="O9" s="9">
        <f t="shared" si="7"/>
        <v>0.8883721729927891</v>
      </c>
      <c r="P9" s="9">
        <f>sunrise(Location!$B$4,Location!$B$5,Location!$B$6,2,A9,Location!$B$7,0)</f>
        <v>0.29604574158535607</v>
      </c>
      <c r="Q9" s="9">
        <f>sunset(Location!$B$4,Location!$B$5,Location!$B$6,2,A9,Location!$B$7,0)</f>
        <v>0.7524809834619335</v>
      </c>
      <c r="R9" s="9">
        <f t="shared" si="8"/>
        <v>0.4564352418765774</v>
      </c>
      <c r="S9" s="10">
        <f t="shared" si="9"/>
        <v>0.03803627015638145</v>
      </c>
      <c r="T9" s="9">
        <f t="shared" si="10"/>
        <v>23.543564758123424</v>
      </c>
      <c r="U9" s="10">
        <f t="shared" si="11"/>
        <v>0.045297063176951875</v>
      </c>
    </row>
    <row r="10" spans="1:21" ht="12.75">
      <c r="A10" s="5">
        <v>8</v>
      </c>
      <c r="B10" s="6" t="str">
        <f aca="true" t="shared" si="12" ref="B10:B16">B3</f>
        <v>Monday</v>
      </c>
      <c r="C10" s="59"/>
      <c r="D10" s="7"/>
      <c r="E10" s="8" t="s">
        <v>26</v>
      </c>
      <c r="F10" s="6" t="s">
        <v>39</v>
      </c>
      <c r="G10" s="83"/>
      <c r="H10" s="9">
        <f t="shared" si="0"/>
        <v>12.024293863106793</v>
      </c>
      <c r="I10" s="9">
        <f t="shared" si="1"/>
        <v>6.159918192978733</v>
      </c>
      <c r="J10" s="9">
        <f t="shared" si="2"/>
        <v>0.2955425228506731</v>
      </c>
      <c r="K10" s="9">
        <f t="shared" si="3"/>
        <v>0.4099181929787328</v>
      </c>
      <c r="L10" s="9">
        <f t="shared" si="4"/>
        <v>0.5242938631067925</v>
      </c>
      <c r="M10" s="9">
        <f t="shared" si="5"/>
        <v>0.6386695332348522</v>
      </c>
      <c r="N10" s="9">
        <f t="shared" si="6"/>
        <v>0.7530452033629119</v>
      </c>
      <c r="O10" s="9">
        <f t="shared" si="7"/>
        <v>0.8886695332348522</v>
      </c>
      <c r="P10" s="9">
        <f>sunrise(Location!$B$4,Location!$B$5,Location!$B$6,2,A10,Location!$B$7,0)</f>
        <v>0.2955425228506731</v>
      </c>
      <c r="Q10" s="9">
        <f>sunset(Location!$B$4,Location!$B$5,Location!$B$6,2,A10,Location!$B$7,0)</f>
        <v>0.7530452033629119</v>
      </c>
      <c r="R10" s="9">
        <f t="shared" si="8"/>
        <v>0.4575026805122388</v>
      </c>
      <c r="S10" s="10">
        <f t="shared" si="9"/>
        <v>0.0381252233760199</v>
      </c>
      <c r="T10" s="9">
        <f t="shared" si="10"/>
        <v>23.54249731948776</v>
      </c>
      <c r="U10" s="10">
        <f t="shared" si="11"/>
        <v>0.045208109957313426</v>
      </c>
    </row>
    <row r="11" spans="1:21" ht="12.75">
      <c r="A11" s="5">
        <v>9</v>
      </c>
      <c r="B11" s="6" t="str">
        <f t="shared" si="12"/>
        <v>Tuesday</v>
      </c>
      <c r="C11" s="59"/>
      <c r="D11" s="95" t="s">
        <v>20</v>
      </c>
      <c r="E11" s="8" t="s">
        <v>29</v>
      </c>
      <c r="F11" s="6" t="s">
        <v>41</v>
      </c>
      <c r="G11" s="83"/>
      <c r="H11" s="9">
        <f t="shared" si="0"/>
        <v>12.024315103008716</v>
      </c>
      <c r="I11" s="9">
        <f t="shared" si="1"/>
        <v>6.159669927572279</v>
      </c>
      <c r="J11" s="9">
        <f t="shared" si="2"/>
        <v>0.2950247521358406</v>
      </c>
      <c r="K11" s="9">
        <f t="shared" si="3"/>
        <v>0.4096699275722774</v>
      </c>
      <c r="L11" s="9">
        <f t="shared" si="4"/>
        <v>0.5243151030087142</v>
      </c>
      <c r="M11" s="9">
        <f t="shared" si="5"/>
        <v>0.638960278445151</v>
      </c>
      <c r="N11" s="9">
        <f t="shared" si="6"/>
        <v>0.7536054538815878</v>
      </c>
      <c r="O11" s="9">
        <f t="shared" si="7"/>
        <v>0.888960278445151</v>
      </c>
      <c r="P11" s="9">
        <f>sunrise(Location!$B$4,Location!$B$5,Location!$B$6,2,A11,Location!$B$7,0)</f>
        <v>0.2950247521358406</v>
      </c>
      <c r="Q11" s="9">
        <f>sunset(Location!$B$4,Location!$B$5,Location!$B$6,2,A11,Location!$B$7,0)</f>
        <v>0.7536054538815878</v>
      </c>
      <c r="R11" s="9">
        <f t="shared" si="8"/>
        <v>0.4585807017457472</v>
      </c>
      <c r="S11" s="10">
        <f t="shared" si="9"/>
        <v>0.03821505847881227</v>
      </c>
      <c r="T11" s="9">
        <f t="shared" si="10"/>
        <v>23.541419298254254</v>
      </c>
      <c r="U11" s="10">
        <f t="shared" si="11"/>
        <v>0.04511827485452106</v>
      </c>
    </row>
    <row r="12" spans="1:21" ht="12.75">
      <c r="A12" s="5">
        <v>10</v>
      </c>
      <c r="B12" s="6" t="str">
        <f t="shared" si="12"/>
        <v>Wednesday</v>
      </c>
      <c r="C12" s="59"/>
      <c r="D12" s="7"/>
      <c r="E12" s="8" t="s">
        <v>32</v>
      </c>
      <c r="F12" s="6" t="s">
        <v>43</v>
      </c>
      <c r="G12" s="83"/>
      <c r="H12" s="9">
        <f t="shared" si="0"/>
        <v>12.024327170403714</v>
      </c>
      <c r="I12" s="9">
        <f t="shared" si="1"/>
        <v>6.159409949442096</v>
      </c>
      <c r="J12" s="9">
        <f t="shared" si="2"/>
        <v>0.29449272848047714</v>
      </c>
      <c r="K12" s="9">
        <f t="shared" si="3"/>
        <v>0.40940994944209524</v>
      </c>
      <c r="L12" s="9">
        <f t="shared" si="4"/>
        <v>0.5243271704037133</v>
      </c>
      <c r="M12" s="9">
        <f t="shared" si="5"/>
        <v>0.6392443913653315</v>
      </c>
      <c r="N12" s="9">
        <f t="shared" si="6"/>
        <v>0.7541616123269497</v>
      </c>
      <c r="O12" s="9">
        <f t="shared" si="7"/>
        <v>0.8892443913653315</v>
      </c>
      <c r="P12" s="9">
        <f>sunrise(Location!$B$4,Location!$B$5,Location!$B$6,2,A12,Location!$B$7,0)</f>
        <v>0.29449272848047714</v>
      </c>
      <c r="Q12" s="9">
        <f>sunset(Location!$B$4,Location!$B$5,Location!$B$6,2,A12,Location!$B$7,0)</f>
        <v>0.7541616123269497</v>
      </c>
      <c r="R12" s="9">
        <f t="shared" si="8"/>
        <v>0.45966888384647253</v>
      </c>
      <c r="S12" s="10">
        <f t="shared" si="9"/>
        <v>0.03830574032053938</v>
      </c>
      <c r="T12" s="9">
        <f t="shared" si="10"/>
        <v>23.540331116153528</v>
      </c>
      <c r="U12" s="10">
        <f t="shared" si="11"/>
        <v>0.04502759301279395</v>
      </c>
    </row>
    <row r="13" spans="1:21" ht="12.75">
      <c r="A13" s="5">
        <v>11</v>
      </c>
      <c r="B13" s="6" t="str">
        <f t="shared" si="12"/>
        <v>Thursday</v>
      </c>
      <c r="C13" s="59"/>
      <c r="D13" s="95" t="s">
        <v>23</v>
      </c>
      <c r="E13" s="8" t="s">
        <v>36</v>
      </c>
      <c r="F13" s="6" t="s">
        <v>44</v>
      </c>
      <c r="G13" s="83"/>
      <c r="H13" s="9">
        <f t="shared" si="0"/>
        <v>12.024330163322777</v>
      </c>
      <c r="I13" s="9">
        <f t="shared" si="1"/>
        <v>6.159138459755864</v>
      </c>
      <c r="J13" s="9">
        <f t="shared" si="2"/>
        <v>0.29394675618895133</v>
      </c>
      <c r="K13" s="9">
        <f t="shared" si="3"/>
        <v>0.4091384597558646</v>
      </c>
      <c r="L13" s="9">
        <f t="shared" si="4"/>
        <v>0.5243301633227778</v>
      </c>
      <c r="M13" s="9">
        <f t="shared" si="5"/>
        <v>0.6395218668896911</v>
      </c>
      <c r="N13" s="9">
        <f t="shared" si="6"/>
        <v>0.7547135704566044</v>
      </c>
      <c r="O13" s="9">
        <f t="shared" si="7"/>
        <v>0.8895218668896911</v>
      </c>
      <c r="P13" s="9">
        <f>sunrise(Location!$B$4,Location!$B$5,Location!$B$6,2,A13,Location!$B$7,0)</f>
        <v>0.29394675618895133</v>
      </c>
      <c r="Q13" s="9">
        <f>sunset(Location!$B$4,Location!$B$5,Location!$B$6,2,A13,Location!$B$7,0)</f>
        <v>0.7547135704566044</v>
      </c>
      <c r="R13" s="9">
        <f t="shared" si="8"/>
        <v>0.46076681426765304</v>
      </c>
      <c r="S13" s="10">
        <f t="shared" si="9"/>
        <v>0.03839723452230442</v>
      </c>
      <c r="T13" s="9">
        <f t="shared" si="10"/>
        <v>23.539233185732346</v>
      </c>
      <c r="U13" s="10">
        <f t="shared" si="11"/>
        <v>0.04493609881102891</v>
      </c>
    </row>
    <row r="14" spans="1:21" ht="12.75">
      <c r="A14" s="5">
        <v>12</v>
      </c>
      <c r="B14" s="6" t="str">
        <f t="shared" si="12"/>
        <v>Friday</v>
      </c>
      <c r="C14" s="59"/>
      <c r="D14" s="95" t="s">
        <v>28</v>
      </c>
      <c r="E14" s="8" t="s">
        <v>17</v>
      </c>
      <c r="F14" s="6" t="s">
        <v>46</v>
      </c>
      <c r="G14" s="83"/>
      <c r="H14" s="9">
        <f t="shared" si="0"/>
        <v>12.02432418932115</v>
      </c>
      <c r="I14" s="9">
        <f t="shared" si="1"/>
        <v>6.158855666885511</v>
      </c>
      <c r="J14" s="9">
        <f t="shared" si="2"/>
        <v>0.2933871444498718</v>
      </c>
      <c r="K14" s="9">
        <f t="shared" si="3"/>
        <v>0.40885566688551184</v>
      </c>
      <c r="L14" s="9">
        <f t="shared" si="4"/>
        <v>0.5243241893211519</v>
      </c>
      <c r="M14" s="9">
        <f t="shared" si="5"/>
        <v>0.6397927117567919</v>
      </c>
      <c r="N14" s="9">
        <f t="shared" si="6"/>
        <v>0.755261234192432</v>
      </c>
      <c r="O14" s="9">
        <f t="shared" si="7"/>
        <v>0.8897927117567919</v>
      </c>
      <c r="P14" s="9">
        <f>sunrise(Location!$B$4,Location!$B$5,Location!$B$6,2,A14,Location!$B$7,0)</f>
        <v>0.2933871444498718</v>
      </c>
      <c r="Q14" s="9">
        <f>sunset(Location!$B$4,Location!$B$5,Location!$B$6,2,A14,Location!$B$7,0)</f>
        <v>0.755261234192432</v>
      </c>
      <c r="R14" s="9">
        <f t="shared" si="8"/>
        <v>0.46187408974256017</v>
      </c>
      <c r="S14" s="10">
        <f t="shared" si="9"/>
        <v>0.03848950747854668</v>
      </c>
      <c r="T14" s="9">
        <f t="shared" si="10"/>
        <v>23.53812591025744</v>
      </c>
      <c r="U14" s="10">
        <f t="shared" si="11"/>
        <v>0.04484382585478665</v>
      </c>
    </row>
    <row r="15" spans="1:21" ht="12.75">
      <c r="A15" s="5">
        <v>13</v>
      </c>
      <c r="B15" s="6" t="str">
        <f t="shared" si="12"/>
        <v>Saturday</v>
      </c>
      <c r="C15" s="59"/>
      <c r="D15" s="7"/>
      <c r="E15" s="8" t="s">
        <v>21</v>
      </c>
      <c r="F15" s="6" t="s">
        <v>47</v>
      </c>
      <c r="G15" s="83"/>
      <c r="H15" s="9">
        <f t="shared" si="0"/>
        <v>12.024309365139596</v>
      </c>
      <c r="I15" s="9">
        <f t="shared" si="1"/>
        <v>6.158561786052229</v>
      </c>
      <c r="J15" s="9">
        <f t="shared" si="2"/>
        <v>0.2928142069648627</v>
      </c>
      <c r="K15" s="9">
        <f t="shared" si="3"/>
        <v>0.4085617860522297</v>
      </c>
      <c r="L15" s="9">
        <f t="shared" si="4"/>
        <v>0.5243093651395967</v>
      </c>
      <c r="M15" s="9">
        <f t="shared" si="5"/>
        <v>0.6400569442269637</v>
      </c>
      <c r="N15" s="9">
        <f t="shared" si="6"/>
        <v>0.7558045233143307</v>
      </c>
      <c r="O15" s="9">
        <f t="shared" si="7"/>
        <v>0.8900569442269637</v>
      </c>
      <c r="P15" s="9">
        <f>sunrise(Location!$B$4,Location!$B$5,Location!$B$6,2,A15,Location!$B$7,0)</f>
        <v>0.2928142069648627</v>
      </c>
      <c r="Q15" s="9">
        <f>sunset(Location!$B$4,Location!$B$5,Location!$B$6,2,A15,Location!$B$7,0)</f>
        <v>0.7558045233143307</v>
      </c>
      <c r="R15" s="9">
        <f t="shared" si="8"/>
        <v>0.46299031634946797</v>
      </c>
      <c r="S15" s="10">
        <f t="shared" si="9"/>
        <v>0.03858252636245566</v>
      </c>
      <c r="T15" s="9">
        <f t="shared" si="10"/>
        <v>23.53700968365053</v>
      </c>
      <c r="U15" s="10">
        <f t="shared" si="11"/>
        <v>0.04475080697087767</v>
      </c>
    </row>
    <row r="16" spans="1:21" ht="12.75">
      <c r="A16" s="5">
        <v>14</v>
      </c>
      <c r="B16" s="6" t="str">
        <f t="shared" si="12"/>
        <v>Sunday</v>
      </c>
      <c r="C16" s="59"/>
      <c r="D16" s="95" t="s">
        <v>35</v>
      </c>
      <c r="E16" s="8" t="s">
        <v>24</v>
      </c>
      <c r="F16" s="120" t="s">
        <v>259</v>
      </c>
      <c r="G16" s="83" t="s">
        <v>270</v>
      </c>
      <c r="H16" s="9">
        <f t="shared" si="0"/>
        <v>12.024285816359328</v>
      </c>
      <c r="I16" s="9">
        <f t="shared" si="1"/>
        <v>6.158257038974118</v>
      </c>
      <c r="J16" s="9">
        <f t="shared" si="2"/>
        <v>0.2922282615889085</v>
      </c>
      <c r="K16" s="9">
        <f t="shared" si="3"/>
        <v>0.4082570389741186</v>
      </c>
      <c r="L16" s="9">
        <f t="shared" si="4"/>
        <v>0.5242858163593286</v>
      </c>
      <c r="M16" s="9">
        <f t="shared" si="5"/>
        <v>0.6403145937445387</v>
      </c>
      <c r="N16" s="9">
        <f t="shared" si="6"/>
        <v>0.7563433711297487</v>
      </c>
      <c r="O16" s="9">
        <f t="shared" si="7"/>
        <v>0.8903145937445387</v>
      </c>
      <c r="P16" s="9">
        <f>sunrise(Location!$B$4,Location!$B$5,Location!$B$6,2,A16,Location!$B$7,0)</f>
        <v>0.2922282615889085</v>
      </c>
      <c r="Q16" s="9">
        <f>sunset(Location!$B$4,Location!$B$5,Location!$B$6,2,A16,Location!$B$7,0)</f>
        <v>0.7563433711297487</v>
      </c>
      <c r="R16" s="9">
        <f t="shared" si="8"/>
        <v>0.4641151095408402</v>
      </c>
      <c r="S16" s="10">
        <f t="shared" si="9"/>
        <v>0.03867625912840335</v>
      </c>
      <c r="T16" s="9">
        <f t="shared" si="10"/>
        <v>23.535884890459158</v>
      </c>
      <c r="U16" s="10">
        <f t="shared" si="11"/>
        <v>0.04465707420492998</v>
      </c>
    </row>
    <row r="17" spans="1:21" ht="12.75">
      <c r="A17" s="5">
        <v>15</v>
      </c>
      <c r="B17" s="6" t="str">
        <f aca="true" t="shared" si="13" ref="B17:B23">B3</f>
        <v>Monday</v>
      </c>
      <c r="C17" s="59"/>
      <c r="D17" s="95" t="s">
        <v>38</v>
      </c>
      <c r="E17" s="8" t="s">
        <v>26</v>
      </c>
      <c r="F17" s="120" t="s">
        <v>56</v>
      </c>
      <c r="G17" s="83"/>
      <c r="H17" s="9">
        <f t="shared" si="0"/>
        <v>12.024253677048971</v>
      </c>
      <c r="I17" s="9">
        <f t="shared" si="1"/>
        <v>6.157941653513118</v>
      </c>
      <c r="J17" s="9">
        <f t="shared" si="2"/>
        <v>0.2916296299772661</v>
      </c>
      <c r="K17" s="9">
        <f t="shared" si="3"/>
        <v>0.40794165351311895</v>
      </c>
      <c r="L17" s="9">
        <f t="shared" si="4"/>
        <v>0.5242536770489719</v>
      </c>
      <c r="M17" s="9">
        <f t="shared" si="5"/>
        <v>0.6405657005848246</v>
      </c>
      <c r="N17" s="9">
        <f t="shared" si="6"/>
        <v>0.7568777241206776</v>
      </c>
      <c r="O17" s="9">
        <f t="shared" si="7"/>
        <v>0.8905657005848246</v>
      </c>
      <c r="P17" s="9">
        <f>sunrise(Location!$B$4,Location!$B$5,Location!$B$6,2,A17,Location!$B$7,0)</f>
        <v>0.2916296299772661</v>
      </c>
      <c r="Q17" s="9">
        <f>sunset(Location!$B$4,Location!$B$5,Location!$B$6,2,A17,Location!$B$7,0)</f>
        <v>0.7568777241206776</v>
      </c>
      <c r="R17" s="9">
        <f t="shared" si="8"/>
        <v>0.46524809414341145</v>
      </c>
      <c r="S17" s="10">
        <f t="shared" si="9"/>
        <v>0.03877067451195095</v>
      </c>
      <c r="T17" s="9">
        <f t="shared" si="10"/>
        <v>23.534751905856588</v>
      </c>
      <c r="U17" s="10">
        <f t="shared" si="11"/>
        <v>0.04456265882138238</v>
      </c>
    </row>
    <row r="18" spans="1:21" ht="12.75">
      <c r="A18" s="5">
        <v>16</v>
      </c>
      <c r="B18" s="6" t="str">
        <f t="shared" si="13"/>
        <v>Tuesday</v>
      </c>
      <c r="C18" s="59"/>
      <c r="D18" s="7"/>
      <c r="E18" s="8" t="s">
        <v>29</v>
      </c>
      <c r="F18" s="120" t="s">
        <v>57</v>
      </c>
      <c r="G18" s="83"/>
      <c r="H18" s="9">
        <f t="shared" si="0"/>
        <v>12.024213089411015</v>
      </c>
      <c r="I18" s="9">
        <f t="shared" si="1"/>
        <v>6.1576158633290445</v>
      </c>
      <c r="J18" s="9">
        <f t="shared" si="2"/>
        <v>0.2910186372470738</v>
      </c>
      <c r="K18" s="9">
        <f t="shared" si="3"/>
        <v>0.40761586332904454</v>
      </c>
      <c r="L18" s="9">
        <f t="shared" si="4"/>
        <v>0.5242130894110153</v>
      </c>
      <c r="M18" s="9">
        <f t="shared" si="5"/>
        <v>0.6408103154929861</v>
      </c>
      <c r="N18" s="9">
        <f t="shared" si="6"/>
        <v>0.7574075415749569</v>
      </c>
      <c r="O18" s="9">
        <f t="shared" si="7"/>
        <v>0.8908103154929861</v>
      </c>
      <c r="P18" s="9">
        <f>sunrise(Location!$B$4,Location!$B$5,Location!$B$6,2,A18,Location!$B$7,0)</f>
        <v>0.2910186372470738</v>
      </c>
      <c r="Q18" s="9">
        <f>sunset(Location!$B$4,Location!$B$5,Location!$B$6,2,A18,Location!$B$7,0)</f>
        <v>0.7574075415749569</v>
      </c>
      <c r="R18" s="9">
        <f t="shared" si="8"/>
        <v>0.46638890432788316</v>
      </c>
      <c r="S18" s="10">
        <f t="shared" si="9"/>
        <v>0.038865742027323597</v>
      </c>
      <c r="T18" s="9">
        <f t="shared" si="10"/>
        <v>23.533611095672118</v>
      </c>
      <c r="U18" s="10">
        <f t="shared" si="11"/>
        <v>0.04446759130600973</v>
      </c>
    </row>
    <row r="19" spans="1:21" ht="12.75">
      <c r="A19" s="5">
        <v>17</v>
      </c>
      <c r="B19" s="6" t="str">
        <f t="shared" si="13"/>
        <v>Wednesday</v>
      </c>
      <c r="C19" s="59"/>
      <c r="D19" s="95" t="s">
        <v>40</v>
      </c>
      <c r="E19" s="8" t="s">
        <v>32</v>
      </c>
      <c r="F19" s="120" t="s">
        <v>60</v>
      </c>
      <c r="G19" s="135" t="s">
        <v>83</v>
      </c>
      <c r="H19" s="9">
        <f t="shared" si="0"/>
        <v>12.024164203422178</v>
      </c>
      <c r="I19" s="9">
        <f t="shared" si="1"/>
        <v>6.157279907533699</v>
      </c>
      <c r="J19" s="9">
        <f t="shared" si="2"/>
        <v>0.2903956116452205</v>
      </c>
      <c r="K19" s="9">
        <f t="shared" si="3"/>
        <v>0.40727990753369925</v>
      </c>
      <c r="L19" s="9">
        <f t="shared" si="4"/>
        <v>0.524164203422178</v>
      </c>
      <c r="M19" s="9">
        <f t="shared" si="5"/>
        <v>0.6410484993106567</v>
      </c>
      <c r="N19" s="9">
        <f t="shared" si="6"/>
        <v>0.7579327951991354</v>
      </c>
      <c r="O19" s="9">
        <f t="shared" si="7"/>
        <v>0.8910484993106567</v>
      </c>
      <c r="P19" s="9">
        <f>sunrise(Location!$B$4,Location!$B$5,Location!$B$6,2,A19,Location!$B$7,0)</f>
        <v>0.2903956116452205</v>
      </c>
      <c r="Q19" s="9">
        <f>sunset(Location!$B$4,Location!$B$5,Location!$B$6,2,A19,Location!$B$7,0)</f>
        <v>0.7579327951991354</v>
      </c>
      <c r="R19" s="9">
        <f t="shared" si="8"/>
        <v>0.4675371835539149</v>
      </c>
      <c r="S19" s="10">
        <f t="shared" si="9"/>
        <v>0.03896143196282624</v>
      </c>
      <c r="T19" s="9">
        <f t="shared" si="10"/>
        <v>23.532462816446085</v>
      </c>
      <c r="U19" s="10">
        <f t="shared" si="11"/>
        <v>0.04437190137050709</v>
      </c>
    </row>
    <row r="20" spans="1:21" ht="12.75">
      <c r="A20" s="5">
        <v>18</v>
      </c>
      <c r="B20" s="6" t="str">
        <f t="shared" si="13"/>
        <v>Thursday</v>
      </c>
      <c r="C20" s="59"/>
      <c r="D20" s="95" t="s">
        <v>42</v>
      </c>
      <c r="E20" s="8" t="s">
        <v>36</v>
      </c>
      <c r="F20" s="120" t="s">
        <v>62</v>
      </c>
      <c r="G20" s="135"/>
      <c r="H20" s="9">
        <f t="shared" si="0"/>
        <v>12.024107176474159</v>
      </c>
      <c r="I20" s="9">
        <f t="shared" si="1"/>
        <v>6.156934030352775</v>
      </c>
      <c r="J20" s="9">
        <f t="shared" si="2"/>
        <v>0.28976088423139224</v>
      </c>
      <c r="K20" s="9">
        <f t="shared" si="3"/>
        <v>0.4069340303527758</v>
      </c>
      <c r="L20" s="9">
        <f t="shared" si="4"/>
        <v>0.5241071764741594</v>
      </c>
      <c r="M20" s="9">
        <f t="shared" si="5"/>
        <v>0.641280322595543</v>
      </c>
      <c r="N20" s="9">
        <f t="shared" si="6"/>
        <v>0.7584534687169265</v>
      </c>
      <c r="O20" s="9">
        <f t="shared" si="7"/>
        <v>0.891280322595543</v>
      </c>
      <c r="P20" s="9">
        <f>sunrise(Location!$B$4,Location!$B$5,Location!$B$6,2,A20,Location!$B$7,0)</f>
        <v>0.28976088423139224</v>
      </c>
      <c r="Q20" s="9">
        <f>sunset(Location!$B$4,Location!$B$5,Location!$B$6,2,A20,Location!$B$7,0)</f>
        <v>0.7584534687169265</v>
      </c>
      <c r="R20" s="9">
        <f t="shared" si="8"/>
        <v>0.4686925844855343</v>
      </c>
      <c r="S20" s="10">
        <f t="shared" si="9"/>
        <v>0.03905771537379452</v>
      </c>
      <c r="T20" s="9">
        <f t="shared" si="10"/>
        <v>23.531307415514465</v>
      </c>
      <c r="U20" s="10">
        <f t="shared" si="11"/>
        <v>0.044275617959538806</v>
      </c>
    </row>
    <row r="21" spans="1:21" ht="12.75">
      <c r="A21" s="5">
        <v>19</v>
      </c>
      <c r="B21" s="6" t="str">
        <f t="shared" si="13"/>
        <v>Friday</v>
      </c>
      <c r="C21" s="59"/>
      <c r="D21" s="7"/>
      <c r="E21" s="8" t="s">
        <v>17</v>
      </c>
      <c r="F21" s="120" t="s">
        <v>63</v>
      </c>
      <c r="G21" s="135"/>
      <c r="H21" s="9">
        <f t="shared" si="0"/>
        <v>12.02404217301156</v>
      </c>
      <c r="I21" s="9">
        <f t="shared" si="1"/>
        <v>6.1565784807901</v>
      </c>
      <c r="J21" s="9">
        <f t="shared" si="2"/>
        <v>0.28911478856863876</v>
      </c>
      <c r="K21" s="9">
        <f t="shared" si="3"/>
        <v>0.4065784807900994</v>
      </c>
      <c r="L21" s="9">
        <f t="shared" si="4"/>
        <v>0.5240421730115601</v>
      </c>
      <c r="M21" s="9">
        <f t="shared" si="5"/>
        <v>0.6415058652330208</v>
      </c>
      <c r="N21" s="9">
        <f t="shared" si="6"/>
        <v>0.7589695574544814</v>
      </c>
      <c r="O21" s="9">
        <f t="shared" si="7"/>
        <v>0.8915058652330207</v>
      </c>
      <c r="P21" s="9">
        <f>sunrise(Location!$B$4,Location!$B$5,Location!$B$6,2,A21,Location!$B$7,0)</f>
        <v>0.28911478856863876</v>
      </c>
      <c r="Q21" s="9">
        <f>sunset(Location!$B$4,Location!$B$5,Location!$B$6,2,A21,Location!$B$7,0)</f>
        <v>0.7589695574544814</v>
      </c>
      <c r="R21" s="9">
        <f t="shared" si="8"/>
        <v>0.4698547688858426</v>
      </c>
      <c r="S21" s="10">
        <f t="shared" si="9"/>
        <v>0.03915456407382022</v>
      </c>
      <c r="T21" s="9">
        <f t="shared" si="10"/>
        <v>23.530145231114158</v>
      </c>
      <c r="U21" s="10">
        <f t="shared" si="11"/>
        <v>0.04417876925951311</v>
      </c>
    </row>
    <row r="22" spans="1:21" ht="12.75">
      <c r="A22" s="5">
        <v>20</v>
      </c>
      <c r="B22" s="6" t="str">
        <f t="shared" si="13"/>
        <v>Saturday</v>
      </c>
      <c r="C22" s="59"/>
      <c r="D22" s="95" t="s">
        <v>45</v>
      </c>
      <c r="E22" s="8" t="s">
        <v>21</v>
      </c>
      <c r="F22" s="120" t="s">
        <v>65</v>
      </c>
      <c r="G22" s="48" t="s">
        <v>81</v>
      </c>
      <c r="H22" s="9">
        <f t="shared" si="0"/>
        <v>12.023969364171915</v>
      </c>
      <c r="I22" s="9">
        <f t="shared" si="1"/>
        <v>6.156213512299961</v>
      </c>
      <c r="J22" s="9">
        <f t="shared" si="2"/>
        <v>0.2884576604280066</v>
      </c>
      <c r="K22" s="9">
        <f t="shared" si="3"/>
        <v>0.40621351229996117</v>
      </c>
      <c r="L22" s="9">
        <f t="shared" si="4"/>
        <v>0.5239693641719158</v>
      </c>
      <c r="M22" s="9">
        <f t="shared" si="5"/>
        <v>0.6417252160438703</v>
      </c>
      <c r="N22" s="9">
        <f t="shared" si="6"/>
        <v>0.7594810679158249</v>
      </c>
      <c r="O22" s="9">
        <f t="shared" si="7"/>
        <v>0.8917252160438703</v>
      </c>
      <c r="P22" s="9">
        <f>sunrise(Location!$B$4,Location!$B$5,Location!$B$6,2,A22,Location!$B$7,0)</f>
        <v>0.2884576604280066</v>
      </c>
      <c r="Q22" s="9">
        <f>sunset(Location!$B$4,Location!$B$5,Location!$B$6,2,A22,Location!$B$7,0)</f>
        <v>0.7594810679158249</v>
      </c>
      <c r="R22" s="9">
        <f t="shared" si="8"/>
        <v>0.47102340748781835</v>
      </c>
      <c r="S22" s="10">
        <f t="shared" si="9"/>
        <v>0.039251950623984865</v>
      </c>
      <c r="T22" s="9">
        <f t="shared" si="10"/>
        <v>23.52897659251218</v>
      </c>
      <c r="U22" s="10">
        <f t="shared" si="11"/>
        <v>0.044081382709348464</v>
      </c>
    </row>
    <row r="23" spans="1:21" ht="12.75">
      <c r="A23" s="5">
        <v>21</v>
      </c>
      <c r="B23" s="6" t="str">
        <f t="shared" si="13"/>
        <v>Sunday</v>
      </c>
      <c r="C23" s="59"/>
      <c r="D23" s="7"/>
      <c r="E23" s="8" t="s">
        <v>24</v>
      </c>
      <c r="F23" s="120" t="s">
        <v>66</v>
      </c>
      <c r="G23" s="135" t="s">
        <v>271</v>
      </c>
      <c r="H23" s="9">
        <f t="shared" si="0"/>
        <v>12.02388892742609</v>
      </c>
      <c r="I23" s="9">
        <f t="shared" si="1"/>
        <v>6.155839382464603</v>
      </c>
      <c r="J23" s="9">
        <f t="shared" si="2"/>
        <v>0.28778983750311715</v>
      </c>
      <c r="K23" s="9">
        <f t="shared" si="3"/>
        <v>0.405839382464603</v>
      </c>
      <c r="L23" s="9">
        <f t="shared" si="4"/>
        <v>0.5238889274260888</v>
      </c>
      <c r="M23" s="9">
        <f t="shared" si="5"/>
        <v>0.6419384723875747</v>
      </c>
      <c r="N23" s="9">
        <f t="shared" si="6"/>
        <v>0.7599880173490605</v>
      </c>
      <c r="O23" s="9">
        <f t="shared" si="7"/>
        <v>0.8919384723875746</v>
      </c>
      <c r="P23" s="9">
        <f>sunrise(Location!$B$4,Location!$B$5,Location!$B$6,2,A23,Location!$B$7,0)</f>
        <v>0.28778983750311715</v>
      </c>
      <c r="Q23" s="9">
        <f>sunset(Location!$B$4,Location!$B$5,Location!$B$6,2,A23,Location!$B$7,0)</f>
        <v>0.7599880173490605</v>
      </c>
      <c r="R23" s="9">
        <f t="shared" si="8"/>
        <v>0.47219817984594337</v>
      </c>
      <c r="S23" s="10">
        <f t="shared" si="9"/>
        <v>0.03934984832049528</v>
      </c>
      <c r="T23" s="9">
        <f t="shared" si="10"/>
        <v>23.527801820154057</v>
      </c>
      <c r="U23" s="10">
        <f t="shared" si="11"/>
        <v>0.043983485012838046</v>
      </c>
    </row>
    <row r="24" spans="1:21" ht="12.75">
      <c r="A24" s="5">
        <v>22</v>
      </c>
      <c r="B24" s="6" t="str">
        <f aca="true" t="shared" si="14" ref="B24:B30">B3</f>
        <v>Monday</v>
      </c>
      <c r="C24" s="59"/>
      <c r="D24" s="95" t="s">
        <v>48</v>
      </c>
      <c r="E24" s="8" t="s">
        <v>26</v>
      </c>
      <c r="F24" s="120" t="s">
        <v>68</v>
      </c>
      <c r="G24" s="136"/>
      <c r="H24" s="9">
        <f t="shared" si="0"/>
        <v>12.023801046221525</v>
      </c>
      <c r="I24" s="9">
        <f t="shared" si="1"/>
        <v>6.1554563526798525</v>
      </c>
      <c r="J24" s="9">
        <f t="shared" si="2"/>
        <v>0.28711165913817976</v>
      </c>
      <c r="K24" s="9">
        <f t="shared" si="3"/>
        <v>0.40545635267985225</v>
      </c>
      <c r="L24" s="9">
        <f t="shared" si="4"/>
        <v>0.5238010462215247</v>
      </c>
      <c r="M24" s="9">
        <f t="shared" si="5"/>
        <v>0.6421457397631971</v>
      </c>
      <c r="N24" s="9">
        <f t="shared" si="6"/>
        <v>0.7604904333048697</v>
      </c>
      <c r="O24" s="9">
        <f t="shared" si="7"/>
        <v>0.8921457397631971</v>
      </c>
      <c r="P24" s="9">
        <f>sunrise(Location!$B$4,Location!$B$5,Location!$B$6,2,A24,Location!$B$7,0)</f>
        <v>0.28711165913817976</v>
      </c>
      <c r="Q24" s="9">
        <f>sunset(Location!$B$4,Location!$B$5,Location!$B$6,2,A24,Location!$B$7,0)</f>
        <v>0.7604904333048697</v>
      </c>
      <c r="R24" s="9">
        <f t="shared" si="8"/>
        <v>0.4733787741666899</v>
      </c>
      <c r="S24" s="10">
        <f t="shared" si="9"/>
        <v>0.03944823118055749</v>
      </c>
      <c r="T24" s="9">
        <f t="shared" si="10"/>
        <v>23.52662122583331</v>
      </c>
      <c r="U24" s="10">
        <f t="shared" si="11"/>
        <v>0.043885102152775836</v>
      </c>
    </row>
    <row r="25" spans="1:21" ht="12.75">
      <c r="A25" s="5">
        <v>23</v>
      </c>
      <c r="B25" s="6" t="str">
        <f t="shared" si="14"/>
        <v>Tuesday</v>
      </c>
      <c r="C25" s="59"/>
      <c r="D25" s="95" t="s">
        <v>50</v>
      </c>
      <c r="E25" s="8" t="s">
        <v>29</v>
      </c>
      <c r="F25" s="120" t="s">
        <v>70</v>
      </c>
      <c r="G25" s="135"/>
      <c r="H25" s="9">
        <f t="shared" si="0"/>
        <v>12.023705909628479</v>
      </c>
      <c r="I25" s="9">
        <f t="shared" si="1"/>
        <v>6.155064687847854</v>
      </c>
      <c r="J25" s="9">
        <f t="shared" si="2"/>
        <v>0.28642346606722796</v>
      </c>
      <c r="K25" s="9">
        <f t="shared" si="3"/>
        <v>0.4050646878478531</v>
      </c>
      <c r="L25" s="9">
        <f t="shared" si="4"/>
        <v>0.5237059096284783</v>
      </c>
      <c r="M25" s="9">
        <f t="shared" si="5"/>
        <v>0.6423471314091035</v>
      </c>
      <c r="N25" s="9">
        <f t="shared" si="6"/>
        <v>0.7609883531897287</v>
      </c>
      <c r="O25" s="9">
        <f t="shared" si="7"/>
        <v>0.8923471314091035</v>
      </c>
      <c r="P25" s="9">
        <f>sunrise(Location!$B$4,Location!$B$5,Location!$B$6,2,A25,Location!$B$7,0)</f>
        <v>0.28642346606722796</v>
      </c>
      <c r="Q25" s="9">
        <f>sunset(Location!$B$4,Location!$B$5,Location!$B$6,2,A25,Location!$B$7,0)</f>
        <v>0.7609883531897287</v>
      </c>
      <c r="R25" s="9">
        <f t="shared" si="8"/>
        <v>0.4745648871225007</v>
      </c>
      <c r="S25" s="10">
        <f t="shared" si="9"/>
        <v>0.03954707392687506</v>
      </c>
      <c r="T25" s="9">
        <f t="shared" si="10"/>
        <v>23.5254351128775</v>
      </c>
      <c r="U25" s="10">
        <f t="shared" si="11"/>
        <v>0.04378625940645827</v>
      </c>
    </row>
    <row r="26" spans="1:21" ht="12.75">
      <c r="A26" s="5">
        <v>24</v>
      </c>
      <c r="B26" s="6" t="str">
        <f t="shared" si="14"/>
        <v>Wednesday</v>
      </c>
      <c r="C26" s="59"/>
      <c r="D26" s="7"/>
      <c r="E26" s="8" t="s">
        <v>32</v>
      </c>
      <c r="F26" s="6" t="s">
        <v>71</v>
      </c>
      <c r="G26" s="156" t="s">
        <v>319</v>
      </c>
      <c r="H26" s="9">
        <f t="shared" si="0"/>
        <v>12.023603711990454</v>
      </c>
      <c r="I26" s="9">
        <f t="shared" si="1"/>
        <v>6.154664656078205</v>
      </c>
      <c r="J26" s="9">
        <f t="shared" si="2"/>
        <v>0.2857256001659549</v>
      </c>
      <c r="K26" s="9">
        <f t="shared" si="3"/>
        <v>0.40466465607820357</v>
      </c>
      <c r="L26" s="9">
        <f t="shared" si="4"/>
        <v>0.5236037119904523</v>
      </c>
      <c r="M26" s="9">
        <f t="shared" si="5"/>
        <v>0.6425427679027009</v>
      </c>
      <c r="N26" s="9">
        <f t="shared" si="6"/>
        <v>0.7614818238149497</v>
      </c>
      <c r="O26" s="9">
        <f t="shared" si="7"/>
        <v>0.8925427679027009</v>
      </c>
      <c r="P26" s="9">
        <f>sunrise(Location!$B$4,Location!$B$5,Location!$B$6,2,A26,Location!$B$7,0)</f>
        <v>0.2857256001659549</v>
      </c>
      <c r="Q26" s="9">
        <f>sunset(Location!$B$4,Location!$B$5,Location!$B$6,2,A26,Location!$B$7,0)</f>
        <v>0.7614818238149497</v>
      </c>
      <c r="R26" s="9">
        <f t="shared" si="8"/>
        <v>0.4757562236489948</v>
      </c>
      <c r="S26" s="10">
        <f t="shared" si="9"/>
        <v>0.03964635197074957</v>
      </c>
      <c r="T26" s="9">
        <f t="shared" si="10"/>
        <v>23.524243776351007</v>
      </c>
      <c r="U26" s="10">
        <f t="shared" si="11"/>
        <v>0.04368698136258376</v>
      </c>
    </row>
    <row r="27" spans="1:21" ht="12.75">
      <c r="A27" s="5">
        <v>25</v>
      </c>
      <c r="B27" s="6" t="str">
        <f t="shared" si="14"/>
        <v>Thursday</v>
      </c>
      <c r="C27" s="59"/>
      <c r="D27" s="95" t="s">
        <v>53</v>
      </c>
      <c r="E27" s="8" t="str">
        <f>IF(Location!B9="No","G","F")</f>
        <v>G</v>
      </c>
      <c r="F27" s="6" t="str">
        <f>IF(Location!B9="No","a.d. v Kal","a.d. bis vi Kal")</f>
        <v>a.d. v Kal</v>
      </c>
      <c r="G27" s="45" t="s">
        <v>185</v>
      </c>
      <c r="H27" s="9">
        <f t="shared" si="0"/>
        <v>12.023494652579283</v>
      </c>
      <c r="I27" s="9">
        <f t="shared" si="1"/>
        <v>6.154256528396812</v>
      </c>
      <c r="J27" s="9">
        <f t="shared" si="2"/>
        <v>0.28501840421434094</v>
      </c>
      <c r="K27" s="9">
        <f t="shared" si="3"/>
        <v>0.4042565283968118</v>
      </c>
      <c r="L27" s="9">
        <f t="shared" si="4"/>
        <v>0.5234946525792826</v>
      </c>
      <c r="M27" s="9">
        <f t="shared" si="5"/>
        <v>0.6427327767617534</v>
      </c>
      <c r="N27" s="9">
        <f t="shared" si="6"/>
        <v>0.7619709009442244</v>
      </c>
      <c r="O27" s="9">
        <f t="shared" si="7"/>
        <v>0.8927327767617534</v>
      </c>
      <c r="P27" s="9">
        <f>sunrise(Location!$B$4,Location!$B$5,Location!$B$6,2,A27,Location!$B$7,0)</f>
        <v>0.28501840421434094</v>
      </c>
      <c r="Q27" s="9">
        <f>sunset(Location!$B$4,Location!$B$5,Location!$B$6,2,A27,Location!$B$7,0)</f>
        <v>0.7619709009442244</v>
      </c>
      <c r="R27" s="9">
        <f t="shared" si="8"/>
        <v>0.47695249672988344</v>
      </c>
      <c r="S27" s="10">
        <f t="shared" si="9"/>
        <v>0.03974604139415695</v>
      </c>
      <c r="T27" s="9">
        <f t="shared" si="10"/>
        <v>23.523047503270117</v>
      </c>
      <c r="U27" s="10">
        <f t="shared" si="11"/>
        <v>0.043587291939176376</v>
      </c>
    </row>
    <row r="28" spans="1:21" ht="12.75">
      <c r="A28" s="5">
        <v>26</v>
      </c>
      <c r="B28" s="6" t="str">
        <f t="shared" si="14"/>
        <v>Friday</v>
      </c>
      <c r="C28" s="59"/>
      <c r="D28" s="95" t="s">
        <v>55</v>
      </c>
      <c r="E28" s="8" t="str">
        <f>IF(Location!B9="No","A","G")</f>
        <v>A</v>
      </c>
      <c r="F28" s="6" t="str">
        <f>IF(Location!B9="No","a.d. iv Kal","a.d. v Kal")</f>
        <v>a.d. iv Kal</v>
      </c>
      <c r="G28" s="135" t="s">
        <v>211</v>
      </c>
      <c r="H28" s="9">
        <f t="shared" si="0"/>
        <v>12.023378935257156</v>
      </c>
      <c r="I28" s="9">
        <f t="shared" si="1"/>
        <v>6.153840578466458</v>
      </c>
      <c r="J28" s="9">
        <f t="shared" si="2"/>
        <v>0.2843022216757584</v>
      </c>
      <c r="K28" s="9">
        <f t="shared" si="3"/>
        <v>0.4038405784664566</v>
      </c>
      <c r="L28" s="9">
        <f t="shared" si="4"/>
        <v>0.5233789352571547</v>
      </c>
      <c r="M28" s="9">
        <f t="shared" si="5"/>
        <v>0.642917292047853</v>
      </c>
      <c r="N28" s="9">
        <f t="shared" si="6"/>
        <v>0.7624556488385511</v>
      </c>
      <c r="O28" s="9">
        <f t="shared" si="7"/>
        <v>0.892917292047853</v>
      </c>
      <c r="P28" s="9">
        <f>sunrise(Location!$B$4,Location!$B$5,Location!$B$6,2,A28,Location!$B$7,0)</f>
        <v>0.2843022216757584</v>
      </c>
      <c r="Q28" s="9">
        <f>sunset(Location!$B$4,Location!$B$5,Location!$B$6,2,A28,Location!$B$7,0)</f>
        <v>0.7624556488385511</v>
      </c>
      <c r="R28" s="9">
        <f t="shared" si="8"/>
        <v>0.4781534271627927</v>
      </c>
      <c r="S28" s="10">
        <f t="shared" si="9"/>
        <v>0.039846118930232724</v>
      </c>
      <c r="T28" s="9">
        <f t="shared" si="10"/>
        <v>23.52184657283721</v>
      </c>
      <c r="U28" s="10">
        <f t="shared" si="11"/>
        <v>0.043487214403100605</v>
      </c>
    </row>
    <row r="29" spans="1:21" ht="12.75">
      <c r="A29" s="5">
        <v>27</v>
      </c>
      <c r="B29" s="6" t="str">
        <f t="shared" si="14"/>
        <v>Saturday</v>
      </c>
      <c r="C29" s="59"/>
      <c r="D29" s="7"/>
      <c r="E29" s="8" t="str">
        <f>IF(Location!B9="No","B","A")</f>
        <v>B</v>
      </c>
      <c r="F29" s="51" t="str">
        <f>IF(Location!B9="No","a.d. iii Kal","a.d. iv Kal")</f>
        <v>a.d. iii Kal</v>
      </c>
      <c r="G29" s="135" t="s">
        <v>211</v>
      </c>
      <c r="H29" s="9">
        <f t="shared" si="0"/>
        <v>12.02325676814402</v>
      </c>
      <c r="I29" s="9">
        <f t="shared" si="1"/>
        <v>6.153417082314257</v>
      </c>
      <c r="J29" s="9">
        <f t="shared" si="2"/>
        <v>0.2835773964844938</v>
      </c>
      <c r="K29" s="9">
        <f t="shared" si="3"/>
        <v>0.4034170823142571</v>
      </c>
      <c r="L29" s="9">
        <f t="shared" si="4"/>
        <v>0.5232567681440203</v>
      </c>
      <c r="M29" s="9">
        <f t="shared" si="5"/>
        <v>0.6430964539737836</v>
      </c>
      <c r="N29" s="9">
        <f t="shared" si="6"/>
        <v>0.7629361398035468</v>
      </c>
      <c r="O29" s="9">
        <f t="shared" si="7"/>
        <v>0.8930964539737836</v>
      </c>
      <c r="P29" s="9">
        <f>sunrise(Location!$B$4,Location!$B$5,Location!$B$6,2,A29,Location!$B$7,0)</f>
        <v>0.2835773964844938</v>
      </c>
      <c r="Q29" s="9">
        <f>sunset(Location!$B$4,Location!$B$5,Location!$B$6,2,A29,Location!$B$7,0)</f>
        <v>0.7629361398035468</v>
      </c>
      <c r="R29" s="9">
        <f t="shared" si="8"/>
        <v>0.479358743319053</v>
      </c>
      <c r="S29" s="10">
        <f t="shared" si="9"/>
        <v>0.03994656194325442</v>
      </c>
      <c r="T29" s="9">
        <f t="shared" si="10"/>
        <v>23.520641256680946</v>
      </c>
      <c r="U29" s="10">
        <f t="shared" si="11"/>
        <v>0.04338677139007891</v>
      </c>
    </row>
    <row r="30" spans="1:21" ht="12.75">
      <c r="A30" s="5">
        <v>28</v>
      </c>
      <c r="B30" s="6" t="str">
        <f t="shared" si="14"/>
        <v>Sunday</v>
      </c>
      <c r="C30" s="59"/>
      <c r="D30" s="95" t="s">
        <v>59</v>
      </c>
      <c r="E30" s="8" t="str">
        <f>IF(Location!B9="No","C","B")</f>
        <v>C</v>
      </c>
      <c r="F30" s="6" t="str">
        <f>IF(Location!B9="No","Prid. Kal","a.d. iii Kal")</f>
        <v>Prid. Kal</v>
      </c>
      <c r="G30" s="135" t="s">
        <v>272</v>
      </c>
      <c r="H30" s="9">
        <f t="shared" si="0"/>
        <v>12.02312836329222</v>
      </c>
      <c r="I30" s="9">
        <f t="shared" si="1"/>
        <v>6.152986318070416</v>
      </c>
      <c r="J30" s="9">
        <f t="shared" si="2"/>
        <v>0.28284427284861197</v>
      </c>
      <c r="K30" s="9">
        <f t="shared" si="3"/>
        <v>0.4029863180704154</v>
      </c>
      <c r="L30" s="9">
        <f t="shared" si="4"/>
        <v>0.5231283632922189</v>
      </c>
      <c r="M30" s="9">
        <f t="shared" si="5"/>
        <v>0.6432704085140224</v>
      </c>
      <c r="N30" s="9">
        <f t="shared" si="6"/>
        <v>0.7634124537358259</v>
      </c>
      <c r="O30" s="9">
        <f t="shared" si="7"/>
        <v>0.8932704085140224</v>
      </c>
      <c r="P30" s="9">
        <f>sunrise(Location!$B$4,Location!$B$5,Location!$B$6,2,A30,Location!$B$7,0)</f>
        <v>0.28284427284861197</v>
      </c>
      <c r="Q30" s="9">
        <f>sunset(Location!$B$4,Location!$B$5,Location!$B$6,2,A30,Location!$B$7,0)</f>
        <v>0.7634124537358259</v>
      </c>
      <c r="R30" s="9">
        <f t="shared" si="8"/>
        <v>0.4805681808872139</v>
      </c>
      <c r="S30" s="10">
        <f t="shared" si="9"/>
        <v>0.04004734840726783</v>
      </c>
      <c r="T30" s="9">
        <f t="shared" si="10"/>
        <v>23.519431819112786</v>
      </c>
      <c r="U30" s="10">
        <f t="shared" si="11"/>
        <v>0.0432859849260655</v>
      </c>
    </row>
    <row r="31" spans="1:21" ht="12.75">
      <c r="A31" s="5">
        <f>IF(Location!B9="Yes",29,"")</f>
      </c>
      <c r="B31" s="6">
        <f>IF(Location!B9="Yes",B3,"")</f>
      </c>
      <c r="C31" s="59"/>
      <c r="D31" s="6"/>
      <c r="E31" s="8">
        <f>IF(Location!B9="No","","C")</f>
      </c>
      <c r="F31" s="6">
        <f>IF(Location!B9="Yes","Prid. Kal","")</f>
      </c>
      <c r="G31" s="81"/>
      <c r="H31" s="9">
        <f>IF(A31=29,(T31/2)+Q31-"12:00:00","")</f>
      </c>
      <c r="I31" s="9">
        <f>IF(A31=29,H31+((J31-H31)/2),"")</f>
      </c>
      <c r="J31" s="9">
        <f>IF(A31=29,P31,"")</f>
      </c>
      <c r="K31" s="9">
        <f>IF(A31=29,J31+((L31-J31)/2),"")</f>
      </c>
      <c r="L31" s="9">
        <f>IF(A31=29,(R31/2)+J31,"")</f>
      </c>
      <c r="M31" s="9">
        <f>IF(A31=29,((N31-L31)/2)+L31,"")</f>
      </c>
      <c r="N31" s="9">
        <f>IF(A31=29,Q31,"")</f>
      </c>
      <c r="O31" s="9">
        <f>IF(A31=29,3*U31+N31,"")</f>
      </c>
      <c r="P31" s="9">
        <f>IF(A31=29,sunrise(Location!$B$4,Location!$B$5,Location!$B$6,2,A31,Location!$B$7,0),"")</f>
      </c>
      <c r="Q31" s="9">
        <f>IF(A31=29,sunset(Location!$B$4,Location!$B$5,Location!$B$6,2,A31,Location!$B$7,0),"")</f>
      </c>
      <c r="R31" s="9">
        <f>IF(A31=29,Q31-P31,"")</f>
      </c>
      <c r="S31" s="10">
        <f>IF(A31=29,R31/12,"")</f>
      </c>
      <c r="T31" s="9">
        <f>IF(A31=29,(24-(Q31-P31)),"")</f>
      </c>
      <c r="U31" s="10">
        <f>IF(A31=29,"1:00:00"-S31+"1:00:00","")</f>
      </c>
    </row>
    <row r="32" spans="1:21" ht="12.75">
      <c r="A32" s="6"/>
      <c r="B32" s="6"/>
      <c r="C32" s="6"/>
      <c r="D32" s="6"/>
      <c r="F32" s="6"/>
      <c r="G32" s="15"/>
      <c r="H32" s="9"/>
      <c r="I32" s="9"/>
      <c r="J32" s="9"/>
      <c r="K32" s="9"/>
      <c r="L32" s="9"/>
      <c r="M32" s="9"/>
      <c r="N32" s="9"/>
      <c r="O32" s="9"/>
      <c r="P32" s="9"/>
      <c r="Q32" s="9"/>
      <c r="R32" s="9"/>
      <c r="S32" s="10"/>
      <c r="T32" s="9"/>
      <c r="U32" s="10"/>
    </row>
    <row r="33" spans="1:21" ht="12.75">
      <c r="A33" s="6"/>
      <c r="C33" s="6"/>
      <c r="D33" s="6"/>
      <c r="F33" s="6"/>
      <c r="G33" s="15"/>
      <c r="H33" s="9"/>
      <c r="I33" s="9"/>
      <c r="J33" s="9"/>
      <c r="K33" s="9"/>
      <c r="L33" s="9"/>
      <c r="M33" s="9"/>
      <c r="N33" s="9"/>
      <c r="O33" s="9"/>
      <c r="P33" s="9"/>
      <c r="Q33" s="9"/>
      <c r="R33" s="9"/>
      <c r="S33" s="10"/>
      <c r="T33" s="9"/>
      <c r="U33" s="10"/>
    </row>
    <row r="34" spans="1:21" ht="12.75">
      <c r="A34" s="6"/>
      <c r="B34" s="6"/>
      <c r="C34" s="6"/>
      <c r="D34" s="6"/>
      <c r="E34" s="11"/>
      <c r="F34" s="6"/>
      <c r="G34" s="15"/>
      <c r="H34" s="9"/>
      <c r="I34" s="9"/>
      <c r="J34" s="9"/>
      <c r="K34" s="9"/>
      <c r="L34" s="9"/>
      <c r="M34" s="9"/>
      <c r="N34" s="9"/>
      <c r="O34" s="9"/>
      <c r="P34" s="9"/>
      <c r="Q34" s="9"/>
      <c r="R34" s="9"/>
      <c r="S34" s="10"/>
      <c r="T34" s="9"/>
      <c r="U34" s="10"/>
    </row>
    <row r="35" spans="1:21" ht="12.75">
      <c r="A35" s="6"/>
      <c r="C35" s="6"/>
      <c r="D35" s="6"/>
      <c r="E35" s="13"/>
      <c r="F35" s="6"/>
      <c r="G35" s="15"/>
      <c r="H35" s="9"/>
      <c r="I35" s="9"/>
      <c r="J35" s="9"/>
      <c r="K35" s="9"/>
      <c r="L35" s="9"/>
      <c r="M35" s="9"/>
      <c r="N35" s="9"/>
      <c r="O35" s="9"/>
      <c r="P35" s="9"/>
      <c r="Q35" s="9"/>
      <c r="R35" s="9"/>
      <c r="S35" s="10"/>
      <c r="T35" s="9"/>
      <c r="U35" s="10"/>
    </row>
    <row r="36" spans="1:21" ht="12.75">
      <c r="A36" s="6"/>
      <c r="C36" s="6"/>
      <c r="D36" s="52"/>
      <c r="E36" s="6"/>
      <c r="F36" s="6"/>
      <c r="G36" s="15"/>
      <c r="H36" s="9"/>
      <c r="I36" s="9"/>
      <c r="J36" s="9"/>
      <c r="K36" s="9"/>
      <c r="L36" s="9"/>
      <c r="M36" s="9"/>
      <c r="N36" s="9"/>
      <c r="O36" s="9"/>
      <c r="P36" s="9"/>
      <c r="Q36" s="9"/>
      <c r="R36" s="9"/>
      <c r="S36" s="10"/>
      <c r="T36" s="9"/>
      <c r="U36" s="10"/>
    </row>
    <row r="37" spans="1:21" ht="12.75">
      <c r="A37" s="6"/>
      <c r="C37" s="58" t="str">
        <f>Location!C13</f>
        <v>C</v>
      </c>
      <c r="E37" s="100" t="str">
        <f>IF(Location!B9="Yes",Location!C14,Location!C13)</f>
        <v>C</v>
      </c>
      <c r="G37" s="15"/>
      <c r="H37" s="9"/>
      <c r="I37" s="9"/>
      <c r="J37" s="9"/>
      <c r="K37" s="9"/>
      <c r="L37" s="9"/>
      <c r="M37" s="9"/>
      <c r="N37" s="9"/>
      <c r="O37" s="9"/>
      <c r="P37" s="9"/>
      <c r="Q37" s="9"/>
      <c r="R37" s="9"/>
      <c r="S37" s="10"/>
      <c r="T37" s="9"/>
      <c r="U37" s="10"/>
    </row>
    <row r="38" ht="12.75">
      <c r="G38" s="2"/>
    </row>
    <row r="39" ht="12.75">
      <c r="G39" s="2"/>
    </row>
    <row r="40" ht="12.75">
      <c r="G40" s="2"/>
    </row>
    <row r="41" ht="12.75">
      <c r="G41" s="2"/>
    </row>
    <row r="42" ht="12.75">
      <c r="G42" s="2"/>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spans="2:7" ht="12.75">
      <c r="B66" s="6"/>
      <c r="G66" s="2"/>
    </row>
    <row r="67" spans="2:7" ht="12.75">
      <c r="B67" s="6"/>
      <c r="D67" s="6"/>
      <c r="F67" s="6"/>
      <c r="G67" s="2"/>
    </row>
    <row r="68" spans="1:21" ht="12.75">
      <c r="A68" s="6"/>
      <c r="B68" s="6"/>
      <c r="C68" s="6"/>
      <c r="D68" s="6"/>
      <c r="E68" s="6"/>
      <c r="F68" s="6"/>
      <c r="G68" s="15"/>
      <c r="H68" s="9"/>
      <c r="I68" s="9"/>
      <c r="J68" s="9"/>
      <c r="K68" s="9"/>
      <c r="L68" s="9"/>
      <c r="M68" s="9"/>
      <c r="N68" s="9"/>
      <c r="O68" s="9"/>
      <c r="P68" s="9"/>
      <c r="Q68" s="9"/>
      <c r="R68" s="9"/>
      <c r="S68" s="10"/>
      <c r="T68" s="9"/>
      <c r="U68" s="10"/>
    </row>
    <row r="69" spans="1:21" ht="12.75">
      <c r="A69" s="6"/>
      <c r="B69" s="6"/>
      <c r="C69" s="6"/>
      <c r="D69" s="6"/>
      <c r="E69" s="6"/>
      <c r="F69" s="6"/>
      <c r="G69" s="15"/>
      <c r="H69" s="9"/>
      <c r="I69" s="9"/>
      <c r="J69" s="9"/>
      <c r="K69" s="9"/>
      <c r="L69" s="9"/>
      <c r="M69" s="9"/>
      <c r="N69" s="9"/>
      <c r="O69" s="9"/>
      <c r="P69" s="9"/>
      <c r="Q69" s="9"/>
      <c r="R69" s="9"/>
      <c r="S69" s="10"/>
      <c r="T69" s="9"/>
      <c r="U69" s="10"/>
    </row>
    <row r="70" spans="1:21" ht="12.75">
      <c r="A70" s="6"/>
      <c r="B70" s="6"/>
      <c r="C70" s="6"/>
      <c r="D70" s="6"/>
      <c r="E70" s="6"/>
      <c r="F70" s="6"/>
      <c r="G70" s="15"/>
      <c r="H70" s="9"/>
      <c r="I70" s="9"/>
      <c r="J70" s="9"/>
      <c r="K70" s="9"/>
      <c r="L70" s="9"/>
      <c r="M70" s="9"/>
      <c r="N70" s="9"/>
      <c r="O70" s="9"/>
      <c r="P70" s="9"/>
      <c r="Q70" s="9"/>
      <c r="R70" s="9"/>
      <c r="S70" s="10"/>
      <c r="T70" s="9"/>
      <c r="U70" s="10"/>
    </row>
    <row r="71" spans="1:21" ht="12.75">
      <c r="A71" s="6"/>
      <c r="B71" s="6"/>
      <c r="C71" s="6"/>
      <c r="D71" s="6"/>
      <c r="E71" s="6"/>
      <c r="F71" s="6"/>
      <c r="G71" s="15"/>
      <c r="H71" s="9"/>
      <c r="I71" s="9"/>
      <c r="J71" s="9"/>
      <c r="K71" s="9"/>
      <c r="L71" s="9"/>
      <c r="M71" s="9"/>
      <c r="N71" s="9"/>
      <c r="O71" s="9"/>
      <c r="P71" s="9"/>
      <c r="Q71" s="9"/>
      <c r="R71" s="9"/>
      <c r="S71" s="10"/>
      <c r="T71" s="9"/>
      <c r="U71" s="10"/>
    </row>
    <row r="72" spans="1:21" ht="12.75">
      <c r="A72" s="6"/>
      <c r="B72" s="6"/>
      <c r="C72" s="6"/>
      <c r="D72" s="6"/>
      <c r="E72" s="6"/>
      <c r="F72" s="6"/>
      <c r="G72" s="15"/>
      <c r="H72" s="9"/>
      <c r="I72" s="9"/>
      <c r="J72" s="9"/>
      <c r="K72" s="9"/>
      <c r="L72" s="9"/>
      <c r="M72" s="9"/>
      <c r="N72" s="9"/>
      <c r="O72" s="9"/>
      <c r="P72" s="9"/>
      <c r="Q72" s="9"/>
      <c r="R72" s="9"/>
      <c r="S72" s="10"/>
      <c r="T72" s="9"/>
      <c r="U72" s="10"/>
    </row>
    <row r="73" spans="1:21" ht="12.75">
      <c r="A73" s="6"/>
      <c r="B73" s="6"/>
      <c r="C73" s="6"/>
      <c r="D73" s="6"/>
      <c r="E73" s="6"/>
      <c r="F73" s="6"/>
      <c r="G73" s="15"/>
      <c r="H73" s="9"/>
      <c r="I73" s="9"/>
      <c r="J73" s="9"/>
      <c r="K73" s="9"/>
      <c r="L73" s="9"/>
      <c r="M73" s="9"/>
      <c r="N73" s="9"/>
      <c r="O73" s="9"/>
      <c r="P73" s="9"/>
      <c r="Q73" s="9"/>
      <c r="R73" s="9"/>
      <c r="S73" s="10"/>
      <c r="T73" s="9"/>
      <c r="U73" s="10"/>
    </row>
    <row r="74" spans="1:21" ht="12.75">
      <c r="A74" s="6"/>
      <c r="B74" s="6"/>
      <c r="C74" s="6"/>
      <c r="D74" s="6"/>
      <c r="E74" s="6"/>
      <c r="F74" s="6"/>
      <c r="G74" s="14"/>
      <c r="H74" s="9"/>
      <c r="I74" s="9"/>
      <c r="J74" s="9"/>
      <c r="K74" s="9"/>
      <c r="L74" s="9"/>
      <c r="M74" s="9"/>
      <c r="N74" s="9"/>
      <c r="O74" s="9"/>
      <c r="P74" s="9"/>
      <c r="Q74" s="9"/>
      <c r="R74" s="9"/>
      <c r="S74" s="10"/>
      <c r="T74" s="9"/>
      <c r="U74" s="10"/>
    </row>
    <row r="75" spans="1:21" ht="12.75">
      <c r="A75" s="6"/>
      <c r="B75" s="6"/>
      <c r="C75" s="6"/>
      <c r="D75" s="6"/>
      <c r="E75" s="6"/>
      <c r="F75" s="6"/>
      <c r="G75" s="14"/>
      <c r="H75" s="9"/>
      <c r="I75" s="9"/>
      <c r="J75" s="9"/>
      <c r="K75" s="9"/>
      <c r="L75" s="9"/>
      <c r="M75" s="9"/>
      <c r="N75" s="9"/>
      <c r="O75" s="9"/>
      <c r="P75" s="9"/>
      <c r="Q75" s="9"/>
      <c r="R75" s="9"/>
      <c r="S75" s="10"/>
      <c r="T75" s="9"/>
      <c r="U75" s="10"/>
    </row>
    <row r="76" spans="1:21" ht="12.75">
      <c r="A76" s="6"/>
      <c r="C76" s="6"/>
      <c r="D76" s="6"/>
      <c r="E76" s="6"/>
      <c r="F76" s="6"/>
      <c r="G76" s="14"/>
      <c r="H76" s="9"/>
      <c r="I76" s="9"/>
      <c r="J76" s="9"/>
      <c r="K76" s="9"/>
      <c r="L76" s="9"/>
      <c r="M76" s="9"/>
      <c r="N76" s="9"/>
      <c r="O76" s="9"/>
      <c r="P76" s="9"/>
      <c r="Q76" s="9"/>
      <c r="R76" s="9"/>
      <c r="S76" s="10"/>
      <c r="T76" s="9"/>
      <c r="U76" s="10"/>
    </row>
    <row r="77" spans="1:21" ht="12.75">
      <c r="A77" s="6"/>
      <c r="C77" s="6"/>
      <c r="E77" s="6"/>
      <c r="G77" s="14"/>
      <c r="H77" s="9"/>
      <c r="I77" s="9"/>
      <c r="J77" s="9"/>
      <c r="K77" s="9"/>
      <c r="L77" s="9"/>
      <c r="M77" s="9"/>
      <c r="N77" s="9"/>
      <c r="O77" s="9"/>
      <c r="P77" s="9"/>
      <c r="Q77" s="9"/>
      <c r="R77" s="9"/>
      <c r="S77" s="10"/>
      <c r="T77" s="9"/>
      <c r="U77" s="10"/>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spans="2:7" ht="12.75">
      <c r="B109" s="6"/>
      <c r="G109" s="2"/>
    </row>
    <row r="110" spans="2:7" ht="12.75">
      <c r="B110" s="6"/>
      <c r="D110" s="6"/>
      <c r="F110" s="6"/>
      <c r="G110" s="2"/>
    </row>
    <row r="111" spans="1:21" ht="12.75">
      <c r="A111" s="6"/>
      <c r="B111" s="6"/>
      <c r="C111" s="6"/>
      <c r="D111" s="6"/>
      <c r="E111" s="6"/>
      <c r="F111" s="6"/>
      <c r="G111" s="14"/>
      <c r="H111" s="9"/>
      <c r="I111" s="9"/>
      <c r="J111" s="9"/>
      <c r="K111" s="9"/>
      <c r="L111" s="9"/>
      <c r="M111" s="9"/>
      <c r="N111" s="9"/>
      <c r="O111" s="9"/>
      <c r="P111" s="9"/>
      <c r="Q111" s="9"/>
      <c r="R111" s="9"/>
      <c r="S111" s="10"/>
      <c r="T111" s="9"/>
      <c r="U111" s="10"/>
    </row>
    <row r="112" spans="1:21" ht="12.75">
      <c r="A112" s="6"/>
      <c r="B112" s="6"/>
      <c r="C112" s="6"/>
      <c r="D112" s="6"/>
      <c r="E112" s="6"/>
      <c r="F112" s="6"/>
      <c r="G112" s="14"/>
      <c r="H112" s="9"/>
      <c r="I112" s="9"/>
      <c r="J112" s="9"/>
      <c r="K112" s="9"/>
      <c r="L112" s="9"/>
      <c r="M112" s="9"/>
      <c r="N112" s="9"/>
      <c r="O112" s="9"/>
      <c r="P112" s="9"/>
      <c r="Q112" s="9"/>
      <c r="R112" s="9"/>
      <c r="S112" s="10"/>
      <c r="T112" s="9"/>
      <c r="U112" s="10"/>
    </row>
    <row r="113" spans="1:21" ht="12.75">
      <c r="A113" s="6"/>
      <c r="B113" s="6"/>
      <c r="C113" s="6"/>
      <c r="D113" s="6"/>
      <c r="E113" s="6"/>
      <c r="F113" s="6"/>
      <c r="G113" s="14"/>
      <c r="H113" s="9"/>
      <c r="I113" s="9"/>
      <c r="J113" s="9"/>
      <c r="K113" s="9"/>
      <c r="L113" s="9"/>
      <c r="M113" s="9"/>
      <c r="N113" s="9"/>
      <c r="O113" s="9"/>
      <c r="P113" s="9"/>
      <c r="Q113" s="9"/>
      <c r="R113" s="9"/>
      <c r="S113" s="10"/>
      <c r="T113" s="9"/>
      <c r="U113" s="10"/>
    </row>
    <row r="114" spans="1:21" ht="12.75">
      <c r="A114" s="6"/>
      <c r="B114" s="6"/>
      <c r="C114" s="6"/>
      <c r="D114" s="6"/>
      <c r="E114" s="6"/>
      <c r="F114" s="6"/>
      <c r="G114" s="14"/>
      <c r="H114" s="9"/>
      <c r="I114" s="9"/>
      <c r="J114" s="9"/>
      <c r="K114" s="9"/>
      <c r="L114" s="9"/>
      <c r="M114" s="9"/>
      <c r="N114" s="9"/>
      <c r="O114" s="9"/>
      <c r="P114" s="9"/>
      <c r="Q114" s="9"/>
      <c r="R114" s="9"/>
      <c r="S114" s="10"/>
      <c r="T114" s="9"/>
      <c r="U114" s="10"/>
    </row>
    <row r="115" spans="1:21" ht="12.75">
      <c r="A115" s="6"/>
      <c r="B115" s="6"/>
      <c r="C115" s="6"/>
      <c r="D115" s="6"/>
      <c r="E115" s="6"/>
      <c r="F115" s="6"/>
      <c r="G115" s="14"/>
      <c r="H115" s="9"/>
      <c r="I115" s="9"/>
      <c r="J115" s="9"/>
      <c r="K115" s="9"/>
      <c r="L115" s="9"/>
      <c r="M115" s="9"/>
      <c r="N115" s="9"/>
      <c r="O115" s="9"/>
      <c r="P115" s="9"/>
      <c r="Q115" s="9"/>
      <c r="R115" s="9"/>
      <c r="S115" s="10"/>
      <c r="T115" s="9"/>
      <c r="U115" s="10"/>
    </row>
    <row r="116" spans="1:21" ht="12.75">
      <c r="A116" s="6"/>
      <c r="C116" s="6"/>
      <c r="D116" s="6"/>
      <c r="E116" s="6"/>
      <c r="F116" s="6"/>
      <c r="G116" s="14"/>
      <c r="H116" s="9"/>
      <c r="I116" s="9"/>
      <c r="J116" s="9"/>
      <c r="K116" s="9"/>
      <c r="L116" s="9"/>
      <c r="M116" s="9"/>
      <c r="N116" s="9"/>
      <c r="O116" s="9"/>
      <c r="P116" s="9"/>
      <c r="Q116" s="9"/>
      <c r="R116" s="9"/>
      <c r="S116" s="10"/>
      <c r="T116" s="9"/>
      <c r="U116" s="10"/>
    </row>
    <row r="117" spans="1:21" ht="12.75">
      <c r="A117" s="6"/>
      <c r="C117" s="6"/>
      <c r="E117" s="6"/>
      <c r="G117" s="14"/>
      <c r="H117" s="9"/>
      <c r="I117" s="9"/>
      <c r="J117" s="9"/>
      <c r="K117" s="9"/>
      <c r="L117" s="9"/>
      <c r="M117" s="9"/>
      <c r="N117" s="9"/>
      <c r="O117" s="9"/>
      <c r="P117" s="9"/>
      <c r="Q117" s="9"/>
      <c r="R117" s="9"/>
      <c r="S117" s="10"/>
      <c r="T117" s="9"/>
      <c r="U117" s="10"/>
    </row>
    <row r="118" ht="12.75">
      <c r="G118" s="2"/>
    </row>
    <row r="119" ht="12.75">
      <c r="G119" s="2"/>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spans="2:7" ht="12.75">
      <c r="B148" s="6"/>
      <c r="G148" s="2"/>
    </row>
    <row r="149" spans="2:7" ht="12.75">
      <c r="B149" s="6"/>
      <c r="D149" s="6"/>
      <c r="F149" s="6"/>
      <c r="G149" s="2"/>
    </row>
    <row r="150" spans="1:21" ht="12.75">
      <c r="A150" s="6"/>
      <c r="B150" s="6"/>
      <c r="C150" s="6"/>
      <c r="D150" s="6"/>
      <c r="E150" s="6"/>
      <c r="F150" s="6"/>
      <c r="G150" s="14"/>
      <c r="H150" s="9"/>
      <c r="I150" s="9"/>
      <c r="J150" s="9"/>
      <c r="K150" s="9"/>
      <c r="L150" s="9"/>
      <c r="M150" s="9"/>
      <c r="N150" s="9"/>
      <c r="O150" s="9"/>
      <c r="P150" s="9"/>
      <c r="Q150" s="9"/>
      <c r="R150" s="9"/>
      <c r="S150" s="10"/>
      <c r="T150" s="9"/>
      <c r="U150" s="10"/>
    </row>
    <row r="151" spans="1:21" ht="12.75">
      <c r="A151" s="6"/>
      <c r="B151" s="6"/>
      <c r="C151" s="6"/>
      <c r="D151" s="6"/>
      <c r="E151" s="6"/>
      <c r="F151" s="6"/>
      <c r="G151" s="14"/>
      <c r="H151" s="9"/>
      <c r="I151" s="9"/>
      <c r="J151" s="9"/>
      <c r="K151" s="9"/>
      <c r="L151" s="9"/>
      <c r="M151" s="9"/>
      <c r="N151" s="9"/>
      <c r="O151" s="9"/>
      <c r="P151" s="9"/>
      <c r="Q151" s="9"/>
      <c r="R151" s="9"/>
      <c r="S151" s="10"/>
      <c r="T151" s="9"/>
      <c r="U151" s="10"/>
    </row>
    <row r="152" spans="1:21" ht="12.75">
      <c r="A152" s="6"/>
      <c r="B152" s="6"/>
      <c r="C152" s="6"/>
      <c r="D152" s="6"/>
      <c r="E152" s="6"/>
      <c r="F152" s="6"/>
      <c r="G152" s="14"/>
      <c r="H152" s="9"/>
      <c r="I152" s="9"/>
      <c r="J152" s="9"/>
      <c r="K152" s="9"/>
      <c r="L152" s="9"/>
      <c r="M152" s="9"/>
      <c r="N152" s="9"/>
      <c r="O152" s="9"/>
      <c r="P152" s="9"/>
      <c r="Q152" s="9"/>
      <c r="R152" s="9"/>
      <c r="S152" s="10"/>
      <c r="T152" s="9"/>
      <c r="U152" s="10"/>
    </row>
    <row r="153" spans="1:21" ht="12.75">
      <c r="A153" s="6"/>
      <c r="B153" s="6"/>
      <c r="C153" s="6"/>
      <c r="D153" s="6"/>
      <c r="E153" s="6"/>
      <c r="F153" s="6"/>
      <c r="G153" s="14"/>
      <c r="H153" s="9"/>
      <c r="I153" s="9"/>
      <c r="J153" s="9"/>
      <c r="K153" s="9"/>
      <c r="L153" s="9"/>
      <c r="M153" s="9"/>
      <c r="N153" s="9"/>
      <c r="O153" s="9"/>
      <c r="P153" s="9"/>
      <c r="Q153" s="9"/>
      <c r="R153" s="9"/>
      <c r="S153" s="10"/>
      <c r="T153" s="9"/>
      <c r="U153" s="10"/>
    </row>
    <row r="154" spans="1:21" ht="12.75">
      <c r="A154" s="6"/>
      <c r="B154" s="6"/>
      <c r="C154" s="6"/>
      <c r="D154" s="6"/>
      <c r="E154" s="6"/>
      <c r="F154" s="6"/>
      <c r="G154" s="14"/>
      <c r="H154" s="9"/>
      <c r="I154" s="9"/>
      <c r="J154" s="9"/>
      <c r="K154" s="9"/>
      <c r="L154" s="9"/>
      <c r="M154" s="9"/>
      <c r="N154" s="9"/>
      <c r="O154" s="9"/>
      <c r="P154" s="9"/>
      <c r="Q154" s="9"/>
      <c r="R154" s="9"/>
      <c r="S154" s="10"/>
      <c r="T154" s="9"/>
      <c r="U154" s="10"/>
    </row>
    <row r="155" spans="1:21" ht="12.75">
      <c r="A155" s="6"/>
      <c r="C155" s="6"/>
      <c r="D155" s="6"/>
      <c r="E155" s="6"/>
      <c r="F155" s="6"/>
      <c r="G155" s="14"/>
      <c r="H155" s="9"/>
      <c r="I155" s="9"/>
      <c r="J155" s="9"/>
      <c r="K155" s="9"/>
      <c r="L155" s="9"/>
      <c r="M155" s="9"/>
      <c r="N155" s="9"/>
      <c r="O155" s="9"/>
      <c r="P155" s="9"/>
      <c r="Q155" s="9"/>
      <c r="R155" s="9"/>
      <c r="S155" s="10"/>
      <c r="T155" s="9"/>
      <c r="U155" s="10"/>
    </row>
    <row r="156" spans="1:21" ht="12.75">
      <c r="A156" s="6"/>
      <c r="C156" s="6"/>
      <c r="E156" s="6"/>
      <c r="G156" s="14"/>
      <c r="H156" s="9"/>
      <c r="I156" s="9"/>
      <c r="J156" s="9"/>
      <c r="K156" s="9"/>
      <c r="L156" s="9"/>
      <c r="M156" s="9"/>
      <c r="N156" s="9"/>
      <c r="O156" s="9"/>
      <c r="P156" s="9"/>
      <c r="Q156" s="9"/>
      <c r="R156" s="9"/>
      <c r="S156" s="10"/>
      <c r="T156" s="10"/>
      <c r="U156" s="10"/>
    </row>
    <row r="157" ht="12.75">
      <c r="G157" s="2"/>
    </row>
    <row r="158" ht="12.75">
      <c r="G158" s="2"/>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spans="2:7" ht="12.75">
      <c r="B188" s="6"/>
      <c r="G188" s="2"/>
    </row>
    <row r="189" spans="2:7" ht="12.75">
      <c r="B189" s="6"/>
      <c r="D189" s="6"/>
      <c r="F189" s="6"/>
      <c r="G189" s="2"/>
    </row>
    <row r="190" spans="1:21" ht="12.75">
      <c r="A190" s="6"/>
      <c r="B190" s="6"/>
      <c r="C190" s="6"/>
      <c r="D190" s="6"/>
      <c r="E190" s="6"/>
      <c r="F190" s="6"/>
      <c r="G190" s="14"/>
      <c r="H190" s="9"/>
      <c r="I190" s="9"/>
      <c r="J190" s="9"/>
      <c r="K190" s="9"/>
      <c r="L190" s="9"/>
      <c r="M190" s="9"/>
      <c r="N190" s="9"/>
      <c r="O190" s="9"/>
      <c r="P190" s="9"/>
      <c r="Q190" s="9"/>
      <c r="R190" s="9"/>
      <c r="S190" s="10"/>
      <c r="T190" s="9"/>
      <c r="U190" s="10"/>
    </row>
    <row r="191" spans="1:21" ht="12.75">
      <c r="A191" s="6"/>
      <c r="B191" s="6"/>
      <c r="C191" s="6"/>
      <c r="D191" s="6"/>
      <c r="E191" s="6"/>
      <c r="F191" s="6"/>
      <c r="G191" s="14"/>
      <c r="H191" s="9"/>
      <c r="I191" s="9"/>
      <c r="J191" s="9"/>
      <c r="K191" s="9"/>
      <c r="L191" s="9"/>
      <c r="M191" s="9"/>
      <c r="N191" s="9"/>
      <c r="O191" s="9"/>
      <c r="P191" s="9"/>
      <c r="Q191" s="9"/>
      <c r="R191" s="9"/>
      <c r="S191" s="10"/>
      <c r="T191" s="9"/>
      <c r="U191" s="10"/>
    </row>
    <row r="192" spans="1:21" ht="12.75">
      <c r="A192" s="6"/>
      <c r="B192" s="6"/>
      <c r="C192" s="6"/>
      <c r="D192" s="6"/>
      <c r="E192" s="6"/>
      <c r="F192" s="6"/>
      <c r="G192" s="14"/>
      <c r="H192" s="9"/>
      <c r="I192" s="9"/>
      <c r="J192" s="9"/>
      <c r="K192" s="9"/>
      <c r="L192" s="9"/>
      <c r="M192" s="9"/>
      <c r="N192" s="9"/>
      <c r="O192" s="9"/>
      <c r="P192" s="9"/>
      <c r="Q192" s="9"/>
      <c r="R192" s="9"/>
      <c r="S192" s="10"/>
      <c r="T192" s="9"/>
      <c r="U192" s="10"/>
    </row>
    <row r="193" spans="1:21" ht="12.75">
      <c r="A193" s="6"/>
      <c r="B193" s="6"/>
      <c r="C193" s="6"/>
      <c r="D193" s="6"/>
      <c r="E193" s="6"/>
      <c r="F193" s="6"/>
      <c r="G193" s="14"/>
      <c r="H193" s="9"/>
      <c r="I193" s="9"/>
      <c r="J193" s="9"/>
      <c r="K193" s="9"/>
      <c r="L193" s="9"/>
      <c r="M193" s="9"/>
      <c r="N193" s="9"/>
      <c r="O193" s="9"/>
      <c r="P193" s="9"/>
      <c r="Q193" s="9"/>
      <c r="R193" s="9"/>
      <c r="S193" s="10"/>
      <c r="T193" s="9"/>
      <c r="U193" s="10"/>
    </row>
    <row r="194" spans="1:21" ht="12.75">
      <c r="A194" s="6"/>
      <c r="B194" s="6"/>
      <c r="C194" s="6"/>
      <c r="D194" s="6"/>
      <c r="E194" s="6"/>
      <c r="F194" s="6"/>
      <c r="G194" s="14"/>
      <c r="H194" s="9"/>
      <c r="I194" s="9"/>
      <c r="J194" s="9"/>
      <c r="K194" s="9"/>
      <c r="L194" s="9"/>
      <c r="M194" s="9"/>
      <c r="N194" s="9"/>
      <c r="O194" s="9"/>
      <c r="P194" s="9"/>
      <c r="Q194" s="9"/>
      <c r="R194" s="9"/>
      <c r="S194" s="10"/>
      <c r="T194" s="9"/>
      <c r="U194" s="10"/>
    </row>
    <row r="195" spans="1:21" ht="12.75">
      <c r="A195" s="6"/>
      <c r="C195" s="6"/>
      <c r="D195" s="6"/>
      <c r="E195" s="6"/>
      <c r="F195" s="6"/>
      <c r="G195" s="14"/>
      <c r="H195" s="9"/>
      <c r="I195" s="9"/>
      <c r="J195" s="9"/>
      <c r="K195" s="9"/>
      <c r="L195" s="9"/>
      <c r="M195" s="9"/>
      <c r="N195" s="9"/>
      <c r="O195" s="9"/>
      <c r="P195" s="9"/>
      <c r="Q195" s="9"/>
      <c r="R195" s="9"/>
      <c r="S195" s="10"/>
      <c r="T195" s="9"/>
      <c r="U195" s="10"/>
    </row>
    <row r="196" spans="1:21" ht="12.75">
      <c r="A196" s="6"/>
      <c r="C196" s="6"/>
      <c r="E196" s="6"/>
      <c r="G196" s="14"/>
      <c r="H196" s="9"/>
      <c r="I196" s="9"/>
      <c r="J196" s="9"/>
      <c r="K196" s="9"/>
      <c r="L196" s="9"/>
      <c r="M196" s="9"/>
      <c r="N196" s="9"/>
      <c r="O196" s="9"/>
      <c r="P196" s="9"/>
      <c r="Q196" s="9"/>
      <c r="R196" s="9"/>
      <c r="S196" s="10"/>
      <c r="T196" s="9"/>
      <c r="U196" s="10"/>
    </row>
  </sheetData>
  <sheetProtection/>
  <conditionalFormatting sqref="E3:E26">
    <cfRule type="cellIs" priority="1" dxfId="1" operator="equal" stopIfTrue="1">
      <formula>$C$37</formula>
    </cfRule>
  </conditionalFormatting>
  <conditionalFormatting sqref="E27:E31">
    <cfRule type="cellIs" priority="2" dxfId="1" operator="equal" stopIfTrue="1">
      <formula>$E$37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U198"/>
  <sheetViews>
    <sheetView zoomScale="95" zoomScaleNormal="95" zoomScalePageLayoutView="0" workbookViewId="0" topLeftCell="A2">
      <selection activeCell="A2" sqref="A2"/>
    </sheetView>
  </sheetViews>
  <sheetFormatPr defaultColWidth="9.140625" defaultRowHeight="12.75"/>
  <cols>
    <col min="1" max="1" width="5.00390625" style="4" customWidth="1"/>
    <col min="2" max="2" width="11.8515625" style="4" customWidth="1"/>
    <col min="3" max="3" width="3.7109375" style="4" customWidth="1"/>
    <col min="4" max="4" width="4.71093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179</v>
      </c>
      <c r="B1" s="122"/>
      <c r="C1" s="122"/>
      <c r="D1" s="127"/>
      <c r="E1" s="123" t="str">
        <f>ROMAN(Location!$B$6)</f>
        <v>MMX</v>
      </c>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IF(Location!$B$9="No",Februaris!B24,Februaris!B25)</f>
        <v>Monday</v>
      </c>
      <c r="C3" s="59"/>
      <c r="D3" s="95" t="s">
        <v>61</v>
      </c>
      <c r="E3" s="8" t="s">
        <v>26</v>
      </c>
      <c r="F3" s="6" t="s">
        <v>18</v>
      </c>
      <c r="G3" s="48" t="s">
        <v>89</v>
      </c>
      <c r="H3" s="9">
        <f aca="true" t="shared" si="0" ref="H3:H33">(T3/2)+Q3-"12:00:00"</f>
        <v>12.022993936369508</v>
      </c>
      <c r="I3" s="9">
        <f aca="true" t="shared" si="1" ref="I3:I33">H3+((J3-H3)/2)</f>
        <v>6.152548565716872</v>
      </c>
      <c r="J3" s="9">
        <f aca="true" t="shared" si="2" ref="J3:J33">P3</f>
        <v>0.28210319506423637</v>
      </c>
      <c r="K3" s="9">
        <f aca="true" t="shared" si="3" ref="K3:K33">J3+((L3-J3)/2)</f>
        <v>0.4025485657168727</v>
      </c>
      <c r="L3" s="9">
        <f aca="true" t="shared" si="4" ref="L3:L33">(R3/2)+J3</f>
        <v>0.522993936369509</v>
      </c>
      <c r="M3" s="9">
        <f aca="true" t="shared" si="5" ref="M3:M33">((N3-L3)/2)+L3</f>
        <v>0.6434393070221452</v>
      </c>
      <c r="N3" s="9">
        <f aca="true" t="shared" si="6" ref="N3:N33">Q3</f>
        <v>0.7638846776747815</v>
      </c>
      <c r="O3" s="9">
        <f aca="true" t="shared" si="7" ref="O3:O33">3*U3+N3</f>
        <v>0.8934393070221452</v>
      </c>
      <c r="P3" s="9">
        <f>sunrise(Location!$B$4,Location!$B$5,Location!$B$6,3,A3,Location!$B$7,0)</f>
        <v>0.28210319506423637</v>
      </c>
      <c r="Q3" s="9">
        <f>sunset(Location!$B$4,Location!$B$5,Location!$B$6,3,A3,Location!$B$7,0)</f>
        <v>0.7638846776747815</v>
      </c>
      <c r="R3" s="9">
        <f aca="true" t="shared" si="8" ref="R3:R33">Q3-P3</f>
        <v>0.48178148261054515</v>
      </c>
      <c r="S3" s="10">
        <f aca="true" t="shared" si="9" ref="S3:S33">R3/12</f>
        <v>0.0401484568842121</v>
      </c>
      <c r="T3" s="9">
        <f aca="true" t="shared" si="10" ref="T3:T33">(24-(Q3-P3))</f>
        <v>23.518218517389453</v>
      </c>
      <c r="U3" s="10">
        <f aca="true" t="shared" si="11" ref="U3:U33">"1:00:00"-S3+"1:00:00"</f>
        <v>0.04318487644912123</v>
      </c>
    </row>
    <row r="4" spans="1:21" ht="12.75">
      <c r="A4" s="5">
        <v>2</v>
      </c>
      <c r="B4" s="6" t="str">
        <f>IF(Location!$B$9="No",Februaris!B25,Februaris!B26)</f>
        <v>Tuesday</v>
      </c>
      <c r="C4" s="59"/>
      <c r="D4" s="7"/>
      <c r="E4" s="8" t="s">
        <v>29</v>
      </c>
      <c r="F4" s="6" t="s">
        <v>90</v>
      </c>
      <c r="G4" s="48" t="s">
        <v>91</v>
      </c>
      <c r="H4" s="9">
        <f t="shared" si="0"/>
        <v>12.022853706349384</v>
      </c>
      <c r="I4" s="9">
        <f t="shared" si="1"/>
        <v>6.152104106846147</v>
      </c>
      <c r="J4" s="9">
        <f t="shared" si="2"/>
        <v>0.2813545073429093</v>
      </c>
      <c r="K4" s="9">
        <f t="shared" si="3"/>
        <v>0.40210410684614717</v>
      </c>
      <c r="L4" s="9">
        <f t="shared" si="4"/>
        <v>0.5228537063493851</v>
      </c>
      <c r="M4" s="9">
        <f t="shared" si="5"/>
        <v>0.6436033058526229</v>
      </c>
      <c r="N4" s="9">
        <f t="shared" si="6"/>
        <v>0.7643529053558609</v>
      </c>
      <c r="O4" s="9">
        <f t="shared" si="7"/>
        <v>0.8936033058526229</v>
      </c>
      <c r="P4" s="9">
        <f>sunrise(Location!$B$4,Location!$B$5,Location!$B$6,3,A4,Location!$B$7,0)</f>
        <v>0.2813545073429093</v>
      </c>
      <c r="Q4" s="9">
        <f>sunset(Location!$B$4,Location!$B$5,Location!$B$6,3,A4,Location!$B$7,0)</f>
        <v>0.7643529053558609</v>
      </c>
      <c r="R4" s="9">
        <f t="shared" si="8"/>
        <v>0.4829983980129516</v>
      </c>
      <c r="S4" s="10">
        <f t="shared" si="9"/>
        <v>0.0402498665010793</v>
      </c>
      <c r="T4" s="9">
        <f t="shared" si="10"/>
        <v>23.517001601987047</v>
      </c>
      <c r="U4" s="10">
        <f t="shared" si="11"/>
        <v>0.04308346683225403</v>
      </c>
    </row>
    <row r="5" spans="1:21" ht="12.75">
      <c r="A5" s="5">
        <v>3</v>
      </c>
      <c r="B5" s="6" t="str">
        <f>IF(Location!$B$9="No",Februaris!B26,Februaris!B27)</f>
        <v>Wednesday</v>
      </c>
      <c r="C5" s="59"/>
      <c r="D5" s="7"/>
      <c r="E5" s="8" t="s">
        <v>32</v>
      </c>
      <c r="F5" s="6" t="s">
        <v>92</v>
      </c>
      <c r="G5" s="137"/>
      <c r="H5" s="9">
        <f t="shared" si="0"/>
        <v>12.022707895211184</v>
      </c>
      <c r="I5" s="9">
        <f t="shared" si="1"/>
        <v>6.151653224431955</v>
      </c>
      <c r="J5" s="9">
        <f t="shared" si="2"/>
        <v>0.2805985536527263</v>
      </c>
      <c r="K5" s="9">
        <f t="shared" si="3"/>
        <v>0.40165322443195484</v>
      </c>
      <c r="L5" s="9">
        <f t="shared" si="4"/>
        <v>0.5227078952111833</v>
      </c>
      <c r="M5" s="9">
        <f t="shared" si="5"/>
        <v>0.6437625659904118</v>
      </c>
      <c r="N5" s="9">
        <f t="shared" si="6"/>
        <v>0.7648172367696404</v>
      </c>
      <c r="O5" s="9">
        <f t="shared" si="7"/>
        <v>0.8937625659904118</v>
      </c>
      <c r="P5" s="9">
        <f>sunrise(Location!$B$4,Location!$B$5,Location!$B$6,3,A5,Location!$B$7,0)</f>
        <v>0.2805985536527263</v>
      </c>
      <c r="Q5" s="9">
        <f>sunset(Location!$B$4,Location!$B$5,Location!$B$6,3,A5,Location!$B$7,0)</f>
        <v>0.7648172367696404</v>
      </c>
      <c r="R5" s="9">
        <f t="shared" si="8"/>
        <v>0.48421868311691413</v>
      </c>
      <c r="S5" s="10">
        <f t="shared" si="9"/>
        <v>0.04035155692640951</v>
      </c>
      <c r="T5" s="9">
        <f t="shared" si="10"/>
        <v>23.515781316883086</v>
      </c>
      <c r="U5" s="10">
        <f t="shared" si="11"/>
        <v>0.04298177640692382</v>
      </c>
    </row>
    <row r="6" spans="1:21" ht="12.75">
      <c r="A6" s="5">
        <v>4</v>
      </c>
      <c r="B6" s="6" t="str">
        <f>IF(Location!$B$9="No",Februaris!B27,Februaris!B28)</f>
        <v>Thursday</v>
      </c>
      <c r="C6" s="59"/>
      <c r="D6" s="95" t="s">
        <v>64</v>
      </c>
      <c r="E6" s="8" t="s">
        <v>36</v>
      </c>
      <c r="F6" s="6" t="s">
        <v>93</v>
      </c>
      <c r="G6" s="137"/>
      <c r="H6" s="9">
        <f t="shared" si="0"/>
        <v>12.022556727648329</v>
      </c>
      <c r="I6" s="9">
        <f t="shared" si="1"/>
        <v>6.151196202609183</v>
      </c>
      <c r="J6" s="9">
        <f t="shared" si="2"/>
        <v>0.27983567757003774</v>
      </c>
      <c r="K6" s="9">
        <f t="shared" si="3"/>
        <v>0.401196202609184</v>
      </c>
      <c r="L6" s="9">
        <f t="shared" si="4"/>
        <v>0.5225567276483303</v>
      </c>
      <c r="M6" s="9">
        <f t="shared" si="5"/>
        <v>0.6439172526874766</v>
      </c>
      <c r="N6" s="9">
        <f t="shared" si="6"/>
        <v>0.7652777777266228</v>
      </c>
      <c r="O6" s="9">
        <f t="shared" si="7"/>
        <v>0.8939172526874765</v>
      </c>
      <c r="P6" s="9">
        <f>sunrise(Location!$B$4,Location!$B$5,Location!$B$6,3,A6,Location!$B$7,0)</f>
        <v>0.27983567757003774</v>
      </c>
      <c r="Q6" s="9">
        <f>sunset(Location!$B$4,Location!$B$5,Location!$B$6,3,A6,Location!$B$7,0)</f>
        <v>0.7652777777266228</v>
      </c>
      <c r="R6" s="9">
        <f t="shared" si="8"/>
        <v>0.485442100156585</v>
      </c>
      <c r="S6" s="10">
        <f t="shared" si="9"/>
        <v>0.04045350834638208</v>
      </c>
      <c r="T6" s="9">
        <f t="shared" si="10"/>
        <v>23.514557899843414</v>
      </c>
      <c r="U6" s="10">
        <f t="shared" si="11"/>
        <v>0.04287982498695125</v>
      </c>
    </row>
    <row r="7" spans="1:21" ht="12.75">
      <c r="A7" s="5">
        <v>5</v>
      </c>
      <c r="B7" s="6" t="str">
        <f>IF(Location!$B$9="No",Februaris!B28,Februaris!B29)</f>
        <v>Friday</v>
      </c>
      <c r="C7" s="59"/>
      <c r="D7" s="95" t="s">
        <v>67</v>
      </c>
      <c r="E7" s="8" t="s">
        <v>17</v>
      </c>
      <c r="F7" s="6" t="s">
        <v>94</v>
      </c>
      <c r="G7" s="137"/>
      <c r="H7" s="9">
        <f t="shared" si="0"/>
        <v>12.022400430786506</v>
      </c>
      <c r="I7" s="9">
        <f t="shared" si="1"/>
        <v>6.150733326466152</v>
      </c>
      <c r="J7" s="9">
        <f t="shared" si="2"/>
        <v>0.27906622214579635</v>
      </c>
      <c r="K7" s="9">
        <f t="shared" si="3"/>
        <v>0.4007333264661515</v>
      </c>
      <c r="L7" s="9">
        <f t="shared" si="4"/>
        <v>0.5224004307865067</v>
      </c>
      <c r="M7" s="9">
        <f t="shared" si="5"/>
        <v>0.6440675351068619</v>
      </c>
      <c r="N7" s="9">
        <f t="shared" si="6"/>
        <v>0.7657346394272171</v>
      </c>
      <c r="O7" s="9">
        <f t="shared" si="7"/>
        <v>0.8940675351068619</v>
      </c>
      <c r="P7" s="9">
        <f>sunrise(Location!$B$4,Location!$B$5,Location!$B$6,3,A7,Location!$B$7,0)</f>
        <v>0.27906622214579635</v>
      </c>
      <c r="Q7" s="9">
        <f>sunset(Location!$B$4,Location!$B$5,Location!$B$6,3,A7,Location!$B$7,0)</f>
        <v>0.7657346394272171</v>
      </c>
      <c r="R7" s="9">
        <f t="shared" si="8"/>
        <v>0.48666841728142074</v>
      </c>
      <c r="S7" s="10">
        <f t="shared" si="9"/>
        <v>0.04055570144011839</v>
      </c>
      <c r="T7" s="9">
        <f t="shared" si="10"/>
        <v>23.51333158271858</v>
      </c>
      <c r="U7" s="10">
        <f t="shared" si="11"/>
        <v>0.042777631893214936</v>
      </c>
    </row>
    <row r="8" spans="1:21" ht="12.75">
      <c r="A8" s="5">
        <v>6</v>
      </c>
      <c r="B8" s="6" t="str">
        <f>IF(Location!$B$9="No",Februaris!B29,Februaris!B30)</f>
        <v>Saturday</v>
      </c>
      <c r="C8" s="59"/>
      <c r="D8" s="62" t="s">
        <v>69</v>
      </c>
      <c r="E8" s="8" t="s">
        <v>21</v>
      </c>
      <c r="F8" s="6" t="s">
        <v>27</v>
      </c>
      <c r="G8" s="137"/>
      <c r="H8" s="9">
        <f t="shared" si="0"/>
        <v>12.022239233911497</v>
      </c>
      <c r="I8" s="9">
        <f t="shared" si="1"/>
        <v>6.150264881847389</v>
      </c>
      <c r="J8" s="9">
        <f t="shared" si="2"/>
        <v>0.2782905297832798</v>
      </c>
      <c r="K8" s="9">
        <f t="shared" si="3"/>
        <v>0.4002648818473884</v>
      </c>
      <c r="L8" s="9">
        <f t="shared" si="4"/>
        <v>0.5222392339114971</v>
      </c>
      <c r="M8" s="9">
        <f t="shared" si="5"/>
        <v>0.6442135859756057</v>
      </c>
      <c r="N8" s="9">
        <f t="shared" si="6"/>
        <v>0.7661879380397143</v>
      </c>
      <c r="O8" s="9">
        <f t="shared" si="7"/>
        <v>0.8942135859756056</v>
      </c>
      <c r="P8" s="9">
        <f>sunrise(Location!$B$4,Location!$B$5,Location!$B$6,3,A8,Location!$B$7,0)</f>
        <v>0.2782905297832798</v>
      </c>
      <c r="Q8" s="9">
        <f>sunset(Location!$B$4,Location!$B$5,Location!$B$6,3,A8,Location!$B$7,0)</f>
        <v>0.7661879380397143</v>
      </c>
      <c r="R8" s="9">
        <f t="shared" si="8"/>
        <v>0.4878974082564345</v>
      </c>
      <c r="S8" s="10">
        <f t="shared" si="9"/>
        <v>0.04065811735470288</v>
      </c>
      <c r="T8" s="9">
        <f t="shared" si="10"/>
        <v>23.512102591743567</v>
      </c>
      <c r="U8" s="10">
        <f t="shared" si="11"/>
        <v>0.04267521597863045</v>
      </c>
    </row>
    <row r="9" spans="1:21" ht="12.75">
      <c r="A9" s="5">
        <v>7</v>
      </c>
      <c r="B9" s="6" t="str">
        <f>IF(Location!$B$9="No",Februaris!B30,Februaris!B31)</f>
        <v>Sunday</v>
      </c>
      <c r="C9" s="59"/>
      <c r="D9" s="62"/>
      <c r="E9" s="8" t="s">
        <v>24</v>
      </c>
      <c r="F9" s="6" t="s">
        <v>30</v>
      </c>
      <c r="G9" s="135" t="s">
        <v>273</v>
      </c>
      <c r="H9" s="9">
        <f t="shared" si="0"/>
        <v>12.022073368206396</v>
      </c>
      <c r="I9" s="9">
        <f t="shared" si="1"/>
        <v>6.14979115516685</v>
      </c>
      <c r="J9" s="9">
        <f t="shared" si="2"/>
        <v>0.2775089421273029</v>
      </c>
      <c r="K9" s="9">
        <f t="shared" si="3"/>
        <v>0.39979115516684965</v>
      </c>
      <c r="L9" s="9">
        <f t="shared" si="4"/>
        <v>0.5220733682063964</v>
      </c>
      <c r="M9" s="9">
        <f t="shared" si="5"/>
        <v>0.6443555812459432</v>
      </c>
      <c r="N9" s="9">
        <f t="shared" si="6"/>
        <v>0.7666377942854898</v>
      </c>
      <c r="O9" s="9">
        <f t="shared" si="7"/>
        <v>0.894355581245943</v>
      </c>
      <c r="P9" s="9">
        <f>sunrise(Location!$B$4,Location!$B$5,Location!$B$6,3,A9,Location!$B$7,0)</f>
        <v>0.2775089421273029</v>
      </c>
      <c r="Q9" s="9">
        <f>sunset(Location!$B$4,Location!$B$5,Location!$B$6,3,A9,Location!$B$7,0)</f>
        <v>0.7666377942854898</v>
      </c>
      <c r="R9" s="9">
        <f t="shared" si="8"/>
        <v>0.4891288521581869</v>
      </c>
      <c r="S9" s="10">
        <f t="shared" si="9"/>
        <v>0.04076073767984891</v>
      </c>
      <c r="T9" s="9">
        <f t="shared" si="10"/>
        <v>23.51087114784181</v>
      </c>
      <c r="U9" s="10">
        <f t="shared" si="11"/>
        <v>0.04257259565348442</v>
      </c>
    </row>
    <row r="10" spans="1:21" ht="12.75">
      <c r="A10" s="5">
        <v>8</v>
      </c>
      <c r="B10" s="6" t="str">
        <f aca="true" t="shared" si="12" ref="B10:B16">B3</f>
        <v>Monday</v>
      </c>
      <c r="C10" s="59"/>
      <c r="D10" s="25" t="s">
        <v>72</v>
      </c>
      <c r="E10" s="8" t="s">
        <v>26</v>
      </c>
      <c r="F10" s="6" t="s">
        <v>95</v>
      </c>
      <c r="G10" s="137"/>
      <c r="H10" s="9">
        <f t="shared" si="0"/>
        <v>12.0219030664988</v>
      </c>
      <c r="I10" s="9">
        <f t="shared" si="1"/>
        <v>6.149312433232656</v>
      </c>
      <c r="J10" s="9">
        <f t="shared" si="2"/>
        <v>0.27672179996651314</v>
      </c>
      <c r="K10" s="9">
        <f t="shared" si="3"/>
        <v>0.3993124332326569</v>
      </c>
      <c r="L10" s="9">
        <f t="shared" si="4"/>
        <v>0.5219030664988007</v>
      </c>
      <c r="M10" s="9">
        <f t="shared" si="5"/>
        <v>0.6444936997649444</v>
      </c>
      <c r="N10" s="9">
        <f t="shared" si="6"/>
        <v>0.7670843330310883</v>
      </c>
      <c r="O10" s="9">
        <f t="shared" si="7"/>
        <v>0.8944936997649444</v>
      </c>
      <c r="P10" s="9">
        <f>sunrise(Location!$B$4,Location!$B$5,Location!$B$6,3,A10,Location!$B$7,IF(Location!$B$8="No",0,IF(B10="Sunday",1,0)))</f>
        <v>0.27672179996651314</v>
      </c>
      <c r="Q10" s="9">
        <f>sunset(Location!$B$4,Location!$B$5,Location!$B$6,3,A10,Location!$B$7,IF(Location!$B$8="No",0,IF(B10="Sunday",1,0)))</f>
        <v>0.7670843330310883</v>
      </c>
      <c r="R10" s="9">
        <f t="shared" si="8"/>
        <v>0.4903625330645751</v>
      </c>
      <c r="S10" s="10">
        <f t="shared" si="9"/>
        <v>0.040863544422047926</v>
      </c>
      <c r="T10" s="9">
        <f t="shared" si="10"/>
        <v>23.509637466935423</v>
      </c>
      <c r="U10" s="10">
        <f t="shared" si="11"/>
        <v>0.0424697889112854</v>
      </c>
    </row>
    <row r="11" spans="1:21" ht="12.75">
      <c r="A11" s="5">
        <v>9</v>
      </c>
      <c r="B11" s="6" t="str">
        <f t="shared" si="12"/>
        <v>Tuesday</v>
      </c>
      <c r="C11" s="59"/>
      <c r="D11" s="25" t="s">
        <v>75</v>
      </c>
      <c r="E11" s="8" t="s">
        <v>29</v>
      </c>
      <c r="F11" s="6" t="s">
        <v>96</v>
      </c>
      <c r="G11" s="137"/>
      <c r="H11" s="9">
        <f t="shared" si="0"/>
        <v>12.021728563019337</v>
      </c>
      <c r="I11" s="9">
        <f t="shared" si="1"/>
        <v>6.148829003083768</v>
      </c>
      <c r="J11" s="9">
        <f t="shared" si="2"/>
        <v>0.2759294431481995</v>
      </c>
      <c r="K11" s="9">
        <f t="shared" si="3"/>
        <v>0.39882900308376834</v>
      </c>
      <c r="L11" s="9">
        <f t="shared" si="4"/>
        <v>0.5217285630193372</v>
      </c>
      <c r="M11" s="9">
        <f t="shared" si="5"/>
        <v>0.644628122954906</v>
      </c>
      <c r="N11" s="9">
        <f t="shared" si="6"/>
        <v>0.7675276828904749</v>
      </c>
      <c r="O11" s="9">
        <f t="shared" si="7"/>
        <v>0.894628122954906</v>
      </c>
      <c r="P11" s="9">
        <f>sunrise(Location!$B$4,Location!$B$5,Location!$B$6,3,A11,Location!$B$7,IF(Location!$B$8="No",0,IF(OR(B11="Sunday",B11="Monday"),1,0)))</f>
        <v>0.2759294431481995</v>
      </c>
      <c r="Q11" s="9">
        <f>sunset(Location!$B$4,Location!$B$5,Location!$B$6,3,A11,Location!$B$7,IF(Location!$B$8="No",0,IF(OR(B11="Sunday",B11="Monday"),1,0)))</f>
        <v>0.7675276828904749</v>
      </c>
      <c r="R11" s="9">
        <f t="shared" si="8"/>
        <v>0.4915982397422754</v>
      </c>
      <c r="S11" s="10">
        <f t="shared" si="9"/>
        <v>0.04096651997852295</v>
      </c>
      <c r="T11" s="9">
        <f t="shared" si="10"/>
        <v>23.508401760257726</v>
      </c>
      <c r="U11" s="10">
        <f t="shared" si="11"/>
        <v>0.04236681335481038</v>
      </c>
    </row>
    <row r="12" spans="1:21" ht="12.75">
      <c r="A12" s="5">
        <v>10</v>
      </c>
      <c r="B12" s="6" t="str">
        <f t="shared" si="12"/>
        <v>Wednesday</v>
      </c>
      <c r="C12" s="59"/>
      <c r="D12" s="25"/>
      <c r="E12" s="8" t="s">
        <v>32</v>
      </c>
      <c r="F12" s="6" t="s">
        <v>97</v>
      </c>
      <c r="G12" s="137"/>
      <c r="H12" s="9">
        <f t="shared" si="0"/>
        <v>12.02155009316837</v>
      </c>
      <c r="I12" s="9">
        <f t="shared" si="1"/>
        <v>6.148341151835364</v>
      </c>
      <c r="J12" s="9">
        <f t="shared" si="2"/>
        <v>0.2751322105023576</v>
      </c>
      <c r="K12" s="9">
        <f t="shared" si="3"/>
        <v>0.39834115183536434</v>
      </c>
      <c r="L12" s="9">
        <f t="shared" si="4"/>
        <v>0.5215500931683711</v>
      </c>
      <c r="M12" s="9">
        <f t="shared" si="5"/>
        <v>0.6447590345013778</v>
      </c>
      <c r="N12" s="9">
        <f t="shared" si="6"/>
        <v>0.7679679758343846</v>
      </c>
      <c r="O12" s="9">
        <f t="shared" si="7"/>
        <v>0.8947590345013778</v>
      </c>
      <c r="P12" s="9">
        <f>sunrise(Location!$B$4,Location!$B$5,Location!$B$6,3,A12,Location!$B$7,IF(Location!$B$8="No",0,IF(OR(B12="Sunday",B12="Monday",B12="Tuesday"),1,0)))</f>
        <v>0.2751322105023576</v>
      </c>
      <c r="Q12" s="9">
        <f>sunset(Location!$B$4,Location!$B$5,Location!$B$6,3,A12,Location!$B$7,IF(Location!$B$8="No",0,IF(OR(B12="Sunday",B12="Monday",B12="Tuesday"),1,0)))</f>
        <v>0.7679679758343846</v>
      </c>
      <c r="R12" s="9">
        <f t="shared" si="8"/>
        <v>0.492835765332027</v>
      </c>
      <c r="S12" s="10">
        <f t="shared" si="9"/>
        <v>0.04106964711100225</v>
      </c>
      <c r="T12" s="9">
        <f t="shared" si="10"/>
        <v>23.50716423466797</v>
      </c>
      <c r="U12" s="10">
        <f t="shared" si="11"/>
        <v>0.04226368622233108</v>
      </c>
    </row>
    <row r="13" spans="1:21" ht="12.75">
      <c r="A13" s="5">
        <v>11</v>
      </c>
      <c r="B13" s="6" t="str">
        <f t="shared" si="12"/>
        <v>Thursday</v>
      </c>
      <c r="C13" s="59"/>
      <c r="D13" s="25" t="s">
        <v>20</v>
      </c>
      <c r="E13" s="8" t="s">
        <v>36</v>
      </c>
      <c r="F13" s="6" t="s">
        <v>98</v>
      </c>
      <c r="G13" s="137"/>
      <c r="H13" s="9">
        <f t="shared" si="0"/>
        <v>12.02136789329368</v>
      </c>
      <c r="I13" s="9">
        <f t="shared" si="1"/>
        <v>6.147849166536196</v>
      </c>
      <c r="J13" s="9">
        <f t="shared" si="2"/>
        <v>0.2743304397787127</v>
      </c>
      <c r="K13" s="9">
        <f t="shared" si="3"/>
        <v>0.3978491665361964</v>
      </c>
      <c r="L13" s="9">
        <f t="shared" si="4"/>
        <v>0.5213678932936802</v>
      </c>
      <c r="M13" s="9">
        <f t="shared" si="5"/>
        <v>0.6448866200511639</v>
      </c>
      <c r="N13" s="9">
        <f t="shared" si="6"/>
        <v>0.7684053468086477</v>
      </c>
      <c r="O13" s="9">
        <f t="shared" si="7"/>
        <v>0.8948866200511639</v>
      </c>
      <c r="P13" s="9">
        <f>sunrise(Location!$B$4,Location!$B$5,Location!$B$6,3,A13,Location!$B$7,IF(Location!$B$8="No",0,IF(OR(B13="Sunday",B13="Monday",B13="Tuesday",B13="Wednesday"),1,0)))</f>
        <v>0.2743304397787127</v>
      </c>
      <c r="Q13" s="9">
        <f>sunset(Location!$B$4,Location!$B$5,Location!$B$6,3,A13,Location!$B$7,IF(Location!$B$8="No",0,IF(OR(B13="Sunday",B13="Monday",B13="Tuesday",B13="Wednesday"),1,0)))</f>
        <v>0.7684053468086477</v>
      </c>
      <c r="R13" s="9">
        <f t="shared" si="8"/>
        <v>0.494074907029935</v>
      </c>
      <c r="S13" s="10">
        <f t="shared" si="9"/>
        <v>0.04117290891916125</v>
      </c>
      <c r="T13" s="9">
        <f t="shared" si="10"/>
        <v>23.505925092970067</v>
      </c>
      <c r="U13" s="10">
        <f t="shared" si="11"/>
        <v>0.04216042441417208</v>
      </c>
    </row>
    <row r="14" spans="1:21" ht="12.75">
      <c r="A14" s="5">
        <v>12</v>
      </c>
      <c r="B14" s="6" t="str">
        <f t="shared" si="12"/>
        <v>Friday</v>
      </c>
      <c r="C14" s="59"/>
      <c r="D14" s="25"/>
      <c r="E14" s="8" t="s">
        <v>17</v>
      </c>
      <c r="F14" s="6" t="s">
        <v>99</v>
      </c>
      <c r="G14" s="48" t="s">
        <v>100</v>
      </c>
      <c r="H14" s="9">
        <f t="shared" si="0"/>
        <v>12.021182200477313</v>
      </c>
      <c r="I14" s="9">
        <f t="shared" si="1"/>
        <v>6.147353334034971</v>
      </c>
      <c r="J14" s="9">
        <f t="shared" si="2"/>
        <v>0.27352446759263016</v>
      </c>
      <c r="K14" s="9">
        <f t="shared" si="3"/>
        <v>0.3973533340349715</v>
      </c>
      <c r="L14" s="9">
        <f t="shared" si="4"/>
        <v>0.5211822004773128</v>
      </c>
      <c r="M14" s="9">
        <f t="shared" si="5"/>
        <v>0.6450110669196542</v>
      </c>
      <c r="N14" s="9">
        <f t="shared" si="6"/>
        <v>0.7688399333619955</v>
      </c>
      <c r="O14" s="9">
        <f t="shared" si="7"/>
        <v>0.8950110669196542</v>
      </c>
      <c r="P14" s="9">
        <f>sunrise(Location!$B$4,Location!$B$5,Location!$B$6,3,A14,Location!$B$7,IF(Location!$B$8="No",0,IF(OR(B14="Sunday",B14="Monday",B14="Tuesday",B14="Wednesday",B14="Thursday"),1,0)))</f>
        <v>0.27352446759263016</v>
      </c>
      <c r="Q14" s="9">
        <f>sunset(Location!$B$4,Location!$B$5,Location!$B$6,3,A14,Location!$B$7,IF(Location!$B$8="No",0,IF(OR(B14="Sunday",B14="Monday",B14="Tuesday",B14="Wednesday",B14="Thursday"),1,0)))</f>
        <v>0.7688399333619955</v>
      </c>
      <c r="R14" s="9">
        <f t="shared" si="8"/>
        <v>0.49531546576936536</v>
      </c>
      <c r="S14" s="10">
        <f t="shared" si="9"/>
        <v>0.04127628881411378</v>
      </c>
      <c r="T14" s="9">
        <f t="shared" si="10"/>
        <v>23.504684534230634</v>
      </c>
      <c r="U14" s="10">
        <f t="shared" si="11"/>
        <v>0.04205704451921955</v>
      </c>
    </row>
    <row r="15" spans="1:21" ht="12.75">
      <c r="A15" s="5">
        <v>13</v>
      </c>
      <c r="B15" s="6" t="str">
        <f t="shared" si="12"/>
        <v>Saturday</v>
      </c>
      <c r="C15" s="59"/>
      <c r="D15" s="25" t="s">
        <v>23</v>
      </c>
      <c r="E15" s="8" t="s">
        <v>21</v>
      </c>
      <c r="F15" s="6" t="s">
        <v>101</v>
      </c>
      <c r="G15" s="138"/>
      <c r="H15" s="9">
        <f t="shared" si="0"/>
        <v>12.020993252333456</v>
      </c>
      <c r="I15" s="9">
        <f t="shared" si="1"/>
        <v>6.146853940858904</v>
      </c>
      <c r="J15" s="9">
        <f t="shared" si="2"/>
        <v>0.27271462938435065</v>
      </c>
      <c r="K15" s="9">
        <f t="shared" si="3"/>
        <v>0.3968539408589034</v>
      </c>
      <c r="L15" s="9">
        <f t="shared" si="4"/>
        <v>0.5209932523334562</v>
      </c>
      <c r="M15" s="9">
        <f t="shared" si="5"/>
        <v>0.6451325638080089</v>
      </c>
      <c r="N15" s="9">
        <f t="shared" si="6"/>
        <v>0.7692718752825616</v>
      </c>
      <c r="O15" s="9">
        <f t="shared" si="7"/>
        <v>0.8951325638080088</v>
      </c>
      <c r="P15" s="9">
        <f>sunrise(Location!$B$4,Location!$B$5,Location!$B$6,3,A15,Location!$B$7,IF(Location!$B$8="No",0,IF(OR(B15="Sunday",B15="Monday",B15="Tuesday",B15="Wednesday",B15="Thursday",B15="Friday"),1,0)))</f>
        <v>0.27271462938435065</v>
      </c>
      <c r="Q15" s="9">
        <f>sunset(Location!$B$4,Location!$B$5,Location!$B$6,3,A15,Location!$B$7,IF(Location!$B$8="No",0,IF(OR(B15="Sunday",B15="Monday",B15="Tuesday",B15="Wednesday",B15="Thursday",B15="Friday"),1,0)))</f>
        <v>0.7692718752825616</v>
      </c>
      <c r="R15" s="9">
        <f t="shared" si="8"/>
        <v>0.49655724589821093</v>
      </c>
      <c r="S15" s="10">
        <f t="shared" si="9"/>
        <v>0.04137977049151758</v>
      </c>
      <c r="T15" s="9">
        <f t="shared" si="10"/>
        <v>23.50344275410179</v>
      </c>
      <c r="U15" s="10">
        <f t="shared" si="11"/>
        <v>0.04195356284181575</v>
      </c>
    </row>
    <row r="16" spans="1:21" ht="12.75">
      <c r="A16" s="5">
        <v>14</v>
      </c>
      <c r="B16" s="6" t="str">
        <f t="shared" si="12"/>
        <v>Sunday</v>
      </c>
      <c r="C16" s="59"/>
      <c r="D16" s="25" t="s">
        <v>28</v>
      </c>
      <c r="E16" s="8" t="s">
        <v>24</v>
      </c>
      <c r="F16" s="6" t="s">
        <v>46</v>
      </c>
      <c r="G16" s="135" t="s">
        <v>274</v>
      </c>
      <c r="H16" s="9">
        <f t="shared" si="0"/>
        <v>12.041634620146825</v>
      </c>
      <c r="I16" s="9">
        <f t="shared" si="1"/>
        <v>6.17760127309912</v>
      </c>
      <c r="J16" s="9">
        <f t="shared" si="2"/>
        <v>0.31356792605141554</v>
      </c>
      <c r="K16" s="9">
        <f t="shared" si="3"/>
        <v>0.42760127309912066</v>
      </c>
      <c r="L16" s="9">
        <f t="shared" si="4"/>
        <v>0.5416346201468257</v>
      </c>
      <c r="M16" s="9">
        <f t="shared" si="5"/>
        <v>0.6556679671945308</v>
      </c>
      <c r="N16" s="9">
        <f t="shared" si="6"/>
        <v>0.7697013142422359</v>
      </c>
      <c r="O16" s="9">
        <f t="shared" si="7"/>
        <v>0.9056679671945308</v>
      </c>
      <c r="P16" s="9">
        <f>sunrise(Location!$B$4,Location!$B$5,Location!$B$6,3,A16,Location!$B$7,IF(Location!$B$8="No",0,1))</f>
        <v>0.31356792605141554</v>
      </c>
      <c r="Q16" s="9">
        <f>sunset(Location!$B$4,Location!$B$5,Location!$B$6,3,A16,Location!$B$7,IF(Location!$B$8="No",1))</f>
        <v>0.7697013142422359</v>
      </c>
      <c r="R16" s="9">
        <f t="shared" si="8"/>
        <v>0.45613338819082033</v>
      </c>
      <c r="S16" s="10">
        <f t="shared" si="9"/>
        <v>0.03801111568256836</v>
      </c>
      <c r="T16" s="9">
        <f t="shared" si="10"/>
        <v>23.54386661180918</v>
      </c>
      <c r="U16" s="10">
        <f t="shared" si="11"/>
        <v>0.04532221765076497</v>
      </c>
    </row>
    <row r="17" spans="1:21" ht="12.75">
      <c r="A17" s="5">
        <v>15</v>
      </c>
      <c r="B17" s="51" t="str">
        <f aca="true" t="shared" si="13" ref="B17:B23">B3</f>
        <v>Monday</v>
      </c>
      <c r="C17" s="59"/>
      <c r="D17" s="25"/>
      <c r="E17" s="8" t="s">
        <v>26</v>
      </c>
      <c r="F17" s="6" t="s">
        <v>47</v>
      </c>
      <c r="G17" s="138"/>
      <c r="H17" s="9">
        <f t="shared" si="0"/>
        <v>12.062273208689211</v>
      </c>
      <c r="I17" s="9">
        <f t="shared" si="1"/>
        <v>6.187512282974687</v>
      </c>
      <c r="J17" s="9">
        <f t="shared" si="2"/>
        <v>0.3127513572601624</v>
      </c>
      <c r="K17" s="9">
        <f t="shared" si="3"/>
        <v>0.43751228297468714</v>
      </c>
      <c r="L17" s="9">
        <f t="shared" si="4"/>
        <v>0.5622732086892118</v>
      </c>
      <c r="M17" s="9">
        <f t="shared" si="5"/>
        <v>0.6870341344037365</v>
      </c>
      <c r="N17" s="9">
        <f t="shared" si="6"/>
        <v>0.8117950601182613</v>
      </c>
      <c r="O17" s="9">
        <f t="shared" si="7"/>
        <v>0.9370341344037365</v>
      </c>
      <c r="P17" s="9">
        <f>sunrise(Location!$B$4,Location!$B$5,Location!$B$6,3,A17,Location!$B$7,IF(Location!$B$8="No",0,1))</f>
        <v>0.3127513572601624</v>
      </c>
      <c r="Q17" s="9">
        <f>sunset(Location!$B$4,Location!$B$5,Location!$B$6,3,A17,Location!$B$7,IF(Location!$B$8="No",0,1))</f>
        <v>0.8117950601182613</v>
      </c>
      <c r="R17" s="9">
        <f t="shared" si="8"/>
        <v>0.4990437028580989</v>
      </c>
      <c r="S17" s="10">
        <f t="shared" si="9"/>
        <v>0.04158697523817491</v>
      </c>
      <c r="T17" s="9">
        <f t="shared" si="10"/>
        <v>23.5009562971419</v>
      </c>
      <c r="U17" s="10">
        <f t="shared" si="11"/>
        <v>0.04174635809515842</v>
      </c>
    </row>
    <row r="18" spans="1:21" ht="12.75">
      <c r="A18" s="5">
        <v>16</v>
      </c>
      <c r="B18" s="6" t="str">
        <f t="shared" si="13"/>
        <v>Tuesday</v>
      </c>
      <c r="C18" s="59"/>
      <c r="D18" s="25" t="s">
        <v>35</v>
      </c>
      <c r="E18" s="8" t="s">
        <v>29</v>
      </c>
      <c r="F18" s="6" t="s">
        <v>102</v>
      </c>
      <c r="G18" s="138"/>
      <c r="H18" s="9">
        <f t="shared" si="0"/>
        <v>12.062075922708914</v>
      </c>
      <c r="I18" s="9">
        <f t="shared" si="1"/>
        <v>6.187003922068944</v>
      </c>
      <c r="J18" s="9">
        <f t="shared" si="2"/>
        <v>0.31193192142897436</v>
      </c>
      <c r="K18" s="9">
        <f t="shared" si="3"/>
        <v>0.43700392206894434</v>
      </c>
      <c r="L18" s="9">
        <f t="shared" si="4"/>
        <v>0.5620759227089143</v>
      </c>
      <c r="M18" s="9">
        <f t="shared" si="5"/>
        <v>0.6871479233488842</v>
      </c>
      <c r="N18" s="9">
        <f t="shared" si="6"/>
        <v>0.8122199239888541</v>
      </c>
      <c r="O18" s="9">
        <f t="shared" si="7"/>
        <v>0.9371479233488842</v>
      </c>
      <c r="P18" s="9">
        <f>sunrise(Location!$B$4,Location!$B$5,Location!$B$6,3,A18,Location!$B$7,IF(Location!$B$8="No",0,1))</f>
        <v>0.31193192142897436</v>
      </c>
      <c r="Q18" s="9">
        <f>sunset(Location!$B$4,Location!$B$5,Location!$B$6,3,A18,Location!$B$7,IF(Location!$B$8="No",0,1))</f>
        <v>0.8122199239888541</v>
      </c>
      <c r="R18" s="9">
        <f t="shared" si="8"/>
        <v>0.5002880025598797</v>
      </c>
      <c r="S18" s="10">
        <f t="shared" si="9"/>
        <v>0.04169066687998998</v>
      </c>
      <c r="T18" s="9">
        <f t="shared" si="10"/>
        <v>23.49971199744012</v>
      </c>
      <c r="U18" s="10">
        <f t="shared" si="11"/>
        <v>0.04164266645334335</v>
      </c>
    </row>
    <row r="19" spans="1:21" ht="12.75">
      <c r="A19" s="5">
        <v>17</v>
      </c>
      <c r="B19" s="6" t="str">
        <f t="shared" si="13"/>
        <v>Wednesday</v>
      </c>
      <c r="C19" s="59"/>
      <c r="D19" s="25" t="s">
        <v>38</v>
      </c>
      <c r="E19" s="8" t="s">
        <v>32</v>
      </c>
      <c r="F19" s="6" t="s">
        <v>103</v>
      </c>
      <c r="G19" s="48" t="s">
        <v>104</v>
      </c>
      <c r="H19" s="9">
        <f t="shared" si="0"/>
        <v>12.061876333430796</v>
      </c>
      <c r="I19" s="9">
        <f t="shared" si="1"/>
        <v>6.186493141244463</v>
      </c>
      <c r="J19" s="9">
        <f t="shared" si="2"/>
        <v>0.31110994905813055</v>
      </c>
      <c r="K19" s="9">
        <f t="shared" si="3"/>
        <v>0.4364931412444629</v>
      </c>
      <c r="L19" s="9">
        <f t="shared" si="4"/>
        <v>0.5618763334307952</v>
      </c>
      <c r="M19" s="9">
        <f t="shared" si="5"/>
        <v>0.6872595256171276</v>
      </c>
      <c r="N19" s="9">
        <f t="shared" si="6"/>
        <v>0.8126427178034599</v>
      </c>
      <c r="O19" s="9">
        <f t="shared" si="7"/>
        <v>0.9372595256171276</v>
      </c>
      <c r="P19" s="9">
        <f>sunrise(Location!$B$4,Location!$B$5,Location!$B$6,3,A19,Location!$B$7,IF(Location!$B$8="No",0,1))</f>
        <v>0.31110994905813055</v>
      </c>
      <c r="Q19" s="9">
        <f>sunset(Location!$B$4,Location!$B$5,Location!$B$6,3,A19,Location!$B$7,IF(Location!$B$8="No",0,1))</f>
        <v>0.8126427178034599</v>
      </c>
      <c r="R19" s="9">
        <f t="shared" si="8"/>
        <v>0.5015327687453293</v>
      </c>
      <c r="S19" s="10">
        <f t="shared" si="9"/>
        <v>0.041794397395444105</v>
      </c>
      <c r="T19" s="9">
        <f t="shared" si="10"/>
        <v>23.498467231254672</v>
      </c>
      <c r="U19" s="10">
        <f t="shared" si="11"/>
        <v>0.041538935937889224</v>
      </c>
    </row>
    <row r="20" spans="1:21" ht="12.75">
      <c r="A20" s="5">
        <v>18</v>
      </c>
      <c r="B20" s="6" t="str">
        <f t="shared" si="13"/>
        <v>Thursday</v>
      </c>
      <c r="C20" s="59"/>
      <c r="D20" s="25"/>
      <c r="E20" s="8" t="s">
        <v>36</v>
      </c>
      <c r="F20" s="6" t="s">
        <v>105</v>
      </c>
      <c r="G20" s="48" t="s">
        <v>106</v>
      </c>
      <c r="H20" s="9">
        <f t="shared" si="0"/>
        <v>12.061674678395972</v>
      </c>
      <c r="I20" s="9">
        <f t="shared" si="1"/>
        <v>6.1859802238958705</v>
      </c>
      <c r="J20" s="9">
        <f t="shared" si="2"/>
        <v>0.31028576939576846</v>
      </c>
      <c r="K20" s="9">
        <f t="shared" si="3"/>
        <v>0.4359802238958707</v>
      </c>
      <c r="L20" s="9">
        <f t="shared" si="4"/>
        <v>0.561674678395973</v>
      </c>
      <c r="M20" s="9">
        <f t="shared" si="5"/>
        <v>0.6873691328960752</v>
      </c>
      <c r="N20" s="9">
        <f t="shared" si="6"/>
        <v>0.8130635873961773</v>
      </c>
      <c r="O20" s="9">
        <f t="shared" si="7"/>
        <v>0.9373691328960752</v>
      </c>
      <c r="P20" s="9">
        <f>sunrise(Location!$B$4,Location!$B$5,Location!$B$6,3,A20,Location!$B$7,IF(Location!$B$8="No",0,1))</f>
        <v>0.31028576939576846</v>
      </c>
      <c r="Q20" s="9">
        <f>sunset(Location!$B$4,Location!$B$5,Location!$B$6,3,A20,Location!$B$7,IF(Location!$B$8="No",0,1))</f>
        <v>0.8130635873961773</v>
      </c>
      <c r="R20" s="9">
        <f t="shared" si="8"/>
        <v>0.5027778180004089</v>
      </c>
      <c r="S20" s="10">
        <f t="shared" si="9"/>
        <v>0.04189815150003407</v>
      </c>
      <c r="T20" s="9">
        <f t="shared" si="10"/>
        <v>23.49722218199959</v>
      </c>
      <c r="U20" s="10">
        <f t="shared" si="11"/>
        <v>0.04143518183329926</v>
      </c>
    </row>
    <row r="21" spans="1:21" ht="12.75">
      <c r="A21" s="5">
        <v>19</v>
      </c>
      <c r="B21" s="6" t="str">
        <f t="shared" si="13"/>
        <v>Friday</v>
      </c>
      <c r="C21" s="59"/>
      <c r="D21" s="25" t="s">
        <v>40</v>
      </c>
      <c r="E21" s="8" t="s">
        <v>17</v>
      </c>
      <c r="F21" s="6" t="s">
        <v>107</v>
      </c>
      <c r="G21" s="45" t="s">
        <v>235</v>
      </c>
      <c r="H21" s="9">
        <f t="shared" si="0"/>
        <v>12.061471194642996</v>
      </c>
      <c r="I21" s="9">
        <f t="shared" si="1"/>
        <v>6.185465452545561</v>
      </c>
      <c r="J21" s="9">
        <f t="shared" si="2"/>
        <v>0.3094597104481258</v>
      </c>
      <c r="K21" s="9">
        <f t="shared" si="3"/>
        <v>0.43546545254556157</v>
      </c>
      <c r="L21" s="9">
        <f t="shared" si="4"/>
        <v>0.5614711946429973</v>
      </c>
      <c r="M21" s="9">
        <f t="shared" si="5"/>
        <v>0.6874769367404331</v>
      </c>
      <c r="N21" s="9">
        <f t="shared" si="6"/>
        <v>0.8134826788378688</v>
      </c>
      <c r="O21" s="9">
        <f t="shared" si="7"/>
        <v>0.9374769367404331</v>
      </c>
      <c r="P21" s="9">
        <f>sunrise(Location!$B$4,Location!$B$5,Location!$B$6,3,A21,Location!$B$7,IF(Location!$B$8="No",0,1))</f>
        <v>0.3094597104481258</v>
      </c>
      <c r="Q21" s="9">
        <f>sunset(Location!$B$4,Location!$B$5,Location!$B$6,3,A21,Location!$B$7,IF(Location!$B$8="No",0,1))</f>
        <v>0.8134826788378688</v>
      </c>
      <c r="R21" s="9">
        <f t="shared" si="8"/>
        <v>0.504022968389743</v>
      </c>
      <c r="S21" s="10">
        <f t="shared" si="9"/>
        <v>0.042001914032478584</v>
      </c>
      <c r="T21" s="9">
        <f t="shared" si="10"/>
        <v>23.495977031610256</v>
      </c>
      <c r="U21" s="10">
        <f t="shared" si="11"/>
        <v>0.041331419300854745</v>
      </c>
    </row>
    <row r="22" spans="1:21" ht="12.75">
      <c r="A22" s="5">
        <v>20</v>
      </c>
      <c r="B22" s="6" t="str">
        <f t="shared" si="13"/>
        <v>Saturday</v>
      </c>
      <c r="C22" s="59"/>
      <c r="D22" s="25" t="s">
        <v>42</v>
      </c>
      <c r="E22" s="8" t="s">
        <v>21</v>
      </c>
      <c r="F22" s="6" t="s">
        <v>108</v>
      </c>
      <c r="G22" s="48" t="s">
        <v>109</v>
      </c>
      <c r="H22" s="9">
        <f t="shared" si="0"/>
        <v>12.061266118563024</v>
      </c>
      <c r="I22" s="9">
        <f t="shared" si="1"/>
        <v>6.1849491087788815</v>
      </c>
      <c r="J22" s="9">
        <f t="shared" si="2"/>
        <v>0.3086320989947387</v>
      </c>
      <c r="K22" s="9">
        <f t="shared" si="3"/>
        <v>0.4349491087788807</v>
      </c>
      <c r="L22" s="9">
        <f t="shared" si="4"/>
        <v>0.5612661185630228</v>
      </c>
      <c r="M22" s="9">
        <f t="shared" si="5"/>
        <v>0.6875831283471647</v>
      </c>
      <c r="N22" s="9">
        <f t="shared" si="6"/>
        <v>0.8139001381313068</v>
      </c>
      <c r="O22" s="9">
        <f t="shared" si="7"/>
        <v>0.9375831283471647</v>
      </c>
      <c r="P22" s="9">
        <f>sunrise(Location!$B$4,Location!$B$5,Location!$B$6,3,A22,Location!$B$7,IF(Location!$B$8="No",0,1))</f>
        <v>0.3086320989947387</v>
      </c>
      <c r="Q22" s="9">
        <f>sunset(Location!$B$4,Location!$B$5,Location!$B$6,3,A22,Location!$B$7,IF(Location!$B$8="No",0,1))</f>
        <v>0.8139001381313068</v>
      </c>
      <c r="R22" s="9">
        <f t="shared" si="8"/>
        <v>0.505268039136568</v>
      </c>
      <c r="S22" s="10">
        <f t="shared" si="9"/>
        <v>0.04210566992804734</v>
      </c>
      <c r="T22" s="9">
        <f t="shared" si="10"/>
        <v>23.494731960863433</v>
      </c>
      <c r="U22" s="10">
        <f t="shared" si="11"/>
        <v>0.04122766340528599</v>
      </c>
    </row>
    <row r="23" spans="1:21" ht="12.75">
      <c r="A23" s="92">
        <v>21</v>
      </c>
      <c r="B23" s="93" t="str">
        <f t="shared" si="13"/>
        <v>Sunday</v>
      </c>
      <c r="C23" s="59"/>
      <c r="D23" s="16"/>
      <c r="E23" s="8" t="s">
        <v>24</v>
      </c>
      <c r="F23" s="6" t="s">
        <v>110</v>
      </c>
      <c r="G23" s="135" t="s">
        <v>275</v>
      </c>
      <c r="H23" s="9">
        <f t="shared" si="0"/>
        <v>12.061059685759684</v>
      </c>
      <c r="I23" s="9">
        <f t="shared" si="1"/>
        <v>6.18443147318379</v>
      </c>
      <c r="J23" s="9">
        <f t="shared" si="2"/>
        <v>0.30780326060789537</v>
      </c>
      <c r="K23" s="9">
        <f t="shared" si="3"/>
        <v>0.43443147318378983</v>
      </c>
      <c r="L23" s="9">
        <f t="shared" si="4"/>
        <v>0.5610596857596843</v>
      </c>
      <c r="M23" s="9">
        <f t="shared" si="5"/>
        <v>0.6876878983355789</v>
      </c>
      <c r="N23" s="9">
        <f t="shared" si="6"/>
        <v>0.8143161109114734</v>
      </c>
      <c r="O23" s="9">
        <f t="shared" si="7"/>
        <v>0.9376878983355789</v>
      </c>
      <c r="P23" s="9">
        <f>sunrise(Location!$B$4,Location!$B$5,Location!$B$6,3,A23,Location!$B$7,IF(Location!$B$8="No",0,1))</f>
        <v>0.30780326060789537</v>
      </c>
      <c r="Q23" s="9">
        <f>sunset(Location!$B$4,Location!$B$5,Location!$B$6,3,A23,Location!$B$7,IF(Location!$B$8="No",0,1))</f>
        <v>0.8143161109114734</v>
      </c>
      <c r="R23" s="9">
        <f t="shared" si="8"/>
        <v>0.5065128503035781</v>
      </c>
      <c r="S23" s="10">
        <f t="shared" si="9"/>
        <v>0.04220940419196484</v>
      </c>
      <c r="T23" s="9">
        <f t="shared" si="10"/>
        <v>23.49348714969642</v>
      </c>
      <c r="U23" s="10">
        <f t="shared" si="11"/>
        <v>0.04112392914136849</v>
      </c>
    </row>
    <row r="24" spans="1:21" ht="12.75">
      <c r="A24" s="5">
        <v>22</v>
      </c>
      <c r="B24" s="6" t="str">
        <f aca="true" t="shared" si="14" ref="B24:B30">B3</f>
        <v>Monday</v>
      </c>
      <c r="C24" s="59"/>
      <c r="D24" s="25" t="s">
        <v>45</v>
      </c>
      <c r="E24" s="8" t="s">
        <v>26</v>
      </c>
      <c r="F24" s="6" t="s">
        <v>111</v>
      </c>
      <c r="G24" s="138"/>
      <c r="H24" s="9">
        <f t="shared" si="0"/>
        <v>12.060852130916711</v>
      </c>
      <c r="I24" s="9">
        <f t="shared" si="1"/>
        <v>6.18391282529851</v>
      </c>
      <c r="J24" s="9">
        <f t="shared" si="2"/>
        <v>0.306973519680308</v>
      </c>
      <c r="K24" s="9">
        <f t="shared" si="3"/>
        <v>0.4339128252985094</v>
      </c>
      <c r="L24" s="9">
        <f t="shared" si="4"/>
        <v>0.5608521309167107</v>
      </c>
      <c r="M24" s="9">
        <f t="shared" si="5"/>
        <v>0.687791436534912</v>
      </c>
      <c r="N24" s="9">
        <f t="shared" si="6"/>
        <v>0.8147307421531134</v>
      </c>
      <c r="O24" s="9">
        <f t="shared" si="7"/>
        <v>0.937791436534912</v>
      </c>
      <c r="P24" s="9">
        <f>sunrise(Location!$B$4,Location!$B$5,Location!$B$6,3,A24,Location!$B$7,IF(Location!$B$8="No",0,1))</f>
        <v>0.306973519680308</v>
      </c>
      <c r="Q24" s="9">
        <f>sunset(Location!$B$4,Location!$B$5,Location!$B$6,3,A24,Location!$B$7,IF(Location!$B$8="No",0,1))</f>
        <v>0.8147307421531134</v>
      </c>
      <c r="R24" s="9">
        <f t="shared" si="8"/>
        <v>0.5077572224728053</v>
      </c>
      <c r="S24" s="10">
        <f t="shared" si="9"/>
        <v>0.04231310187273377</v>
      </c>
      <c r="T24" s="9">
        <f t="shared" si="10"/>
        <v>23.492242777527196</v>
      </c>
      <c r="U24" s="10">
        <f t="shared" si="11"/>
        <v>0.041020231460599556</v>
      </c>
    </row>
    <row r="25" spans="1:21" ht="12.75">
      <c r="A25" s="5">
        <v>23</v>
      </c>
      <c r="B25" s="6" t="str">
        <f t="shared" si="14"/>
        <v>Tuesday</v>
      </c>
      <c r="C25" s="59"/>
      <c r="D25" s="16"/>
      <c r="E25" s="8" t="s">
        <v>29</v>
      </c>
      <c r="F25" s="6" t="s">
        <v>112</v>
      </c>
      <c r="G25" s="138"/>
      <c r="H25" s="9">
        <f t="shared" si="0"/>
        <v>12.060643687669772</v>
      </c>
      <c r="I25" s="9">
        <f t="shared" si="1"/>
        <v>6.183393443562519</v>
      </c>
      <c r="J25" s="9">
        <f t="shared" si="2"/>
        <v>0.3061431994552649</v>
      </c>
      <c r="K25" s="9">
        <f t="shared" si="3"/>
        <v>0.43339344356251874</v>
      </c>
      <c r="L25" s="9">
        <f t="shared" si="4"/>
        <v>0.5606436876697726</v>
      </c>
      <c r="M25" s="9">
        <f t="shared" si="5"/>
        <v>0.6878939317770264</v>
      </c>
      <c r="N25" s="9">
        <f t="shared" si="6"/>
        <v>0.8151441758842802</v>
      </c>
      <c r="O25" s="9">
        <f t="shared" si="7"/>
        <v>0.9378939317770264</v>
      </c>
      <c r="P25" s="9">
        <f>sunrise(Location!$B$4,Location!$B$5,Location!$B$6,3,A25,Location!$B$7,IF(Location!$B$8="No",0,1))</f>
        <v>0.3061431994552649</v>
      </c>
      <c r="Q25" s="9">
        <f>sunset(Location!$B$4,Location!$B$5,Location!$B$6,3,A25,Location!$B$7,IF(Location!$B$8="No",0,1))</f>
        <v>0.8151441758842802</v>
      </c>
      <c r="R25" s="9">
        <f t="shared" si="8"/>
        <v>0.5090009764290153</v>
      </c>
      <c r="S25" s="10">
        <f t="shared" si="9"/>
        <v>0.042416748035751274</v>
      </c>
      <c r="T25" s="9">
        <f t="shared" si="10"/>
        <v>23.490999023570986</v>
      </c>
      <c r="U25" s="10">
        <f t="shared" si="11"/>
        <v>0.040916585297582055</v>
      </c>
    </row>
    <row r="26" spans="1:21" ht="12.75">
      <c r="A26" s="5">
        <v>24</v>
      </c>
      <c r="B26" s="6" t="str">
        <f t="shared" si="14"/>
        <v>Wednesday</v>
      </c>
      <c r="C26" s="59"/>
      <c r="D26" s="25" t="s">
        <v>48</v>
      </c>
      <c r="E26" s="8" t="s">
        <v>32</v>
      </c>
      <c r="F26" s="6" t="s">
        <v>113</v>
      </c>
      <c r="G26" s="138"/>
      <c r="H26" s="9">
        <f t="shared" si="0"/>
        <v>12.060434588482337</v>
      </c>
      <c r="I26" s="9">
        <f t="shared" si="1"/>
        <v>6.182873605271016</v>
      </c>
      <c r="J26" s="9">
        <f t="shared" si="2"/>
        <v>0.3053126220596957</v>
      </c>
      <c r="K26" s="9">
        <f t="shared" si="3"/>
        <v>0.43287360527101737</v>
      </c>
      <c r="L26" s="9">
        <f t="shared" si="4"/>
        <v>0.560434588482339</v>
      </c>
      <c r="M26" s="9">
        <f t="shared" si="5"/>
        <v>0.6879955716936605</v>
      </c>
      <c r="N26" s="9">
        <f t="shared" si="6"/>
        <v>0.8155565549049822</v>
      </c>
      <c r="O26" s="9">
        <f t="shared" si="7"/>
        <v>0.9379955716936605</v>
      </c>
      <c r="P26" s="9">
        <f>sunrise(Location!$B$4,Location!$B$5,Location!$B$6,3,A26,Location!$B$7,IF(Location!$B$8="No",0,1))</f>
        <v>0.3053126220596957</v>
      </c>
      <c r="Q26" s="9">
        <f>sunset(Location!$B$4,Location!$B$5,Location!$B$6,3,A26,Location!$B$7,IF(Location!$B$8="No",0,1))</f>
        <v>0.8155565549049822</v>
      </c>
      <c r="R26" s="9">
        <f t="shared" si="8"/>
        <v>0.5102439328452866</v>
      </c>
      <c r="S26" s="10">
        <f t="shared" si="9"/>
        <v>0.04252032773710721</v>
      </c>
      <c r="T26" s="9">
        <f t="shared" si="10"/>
        <v>23.489756067154712</v>
      </c>
      <c r="U26" s="10">
        <f t="shared" si="11"/>
        <v>0.040813005596226117</v>
      </c>
    </row>
    <row r="27" spans="1:21" ht="12.75">
      <c r="A27" s="5">
        <v>25</v>
      </c>
      <c r="B27" s="6" t="str">
        <f t="shared" si="14"/>
        <v>Thursday</v>
      </c>
      <c r="C27" s="59"/>
      <c r="D27" s="25" t="s">
        <v>50</v>
      </c>
      <c r="E27" s="8" t="s">
        <v>36</v>
      </c>
      <c r="F27" s="6" t="s">
        <v>114</v>
      </c>
      <c r="G27" s="48" t="s">
        <v>115</v>
      </c>
      <c r="H27" s="9">
        <f t="shared" si="0"/>
        <v>12.060225064527721</v>
      </c>
      <c r="I27" s="9">
        <f t="shared" si="1"/>
        <v>6.182353586535696</v>
      </c>
      <c r="J27" s="9">
        <f t="shared" si="2"/>
        <v>0.3044821085436717</v>
      </c>
      <c r="K27" s="9">
        <f t="shared" si="3"/>
        <v>0.4323535865356958</v>
      </c>
      <c r="L27" s="9">
        <f t="shared" si="4"/>
        <v>0.5602250645277198</v>
      </c>
      <c r="M27" s="9">
        <f t="shared" si="5"/>
        <v>0.6880965425197438</v>
      </c>
      <c r="N27" s="9">
        <f t="shared" si="6"/>
        <v>0.8159680205117678</v>
      </c>
      <c r="O27" s="9">
        <f t="shared" si="7"/>
        <v>0.9380965425197437</v>
      </c>
      <c r="P27" s="9">
        <f>sunrise(Location!$B$4,Location!$B$5,Location!$B$6,3,A27,Location!$B$7,IF(Location!$B$8="No",0,1))</f>
        <v>0.3044821085436717</v>
      </c>
      <c r="Q27" s="9">
        <f>sunset(Location!$B$4,Location!$B$5,Location!$B$6,3,A27,Location!$B$7,IF(Location!$B$8="No",0,1))</f>
        <v>0.8159680205117678</v>
      </c>
      <c r="R27" s="9">
        <f t="shared" si="8"/>
        <v>0.5114859119680961</v>
      </c>
      <c r="S27" s="10">
        <f t="shared" si="9"/>
        <v>0.042623825997341346</v>
      </c>
      <c r="T27" s="9">
        <f t="shared" si="10"/>
        <v>23.488514088031906</v>
      </c>
      <c r="U27" s="10">
        <f t="shared" si="11"/>
        <v>0.04070950733599198</v>
      </c>
    </row>
    <row r="28" spans="1:21" ht="12.75">
      <c r="A28" s="5">
        <v>26</v>
      </c>
      <c r="B28" s="6" t="str">
        <f t="shared" si="14"/>
        <v>Friday</v>
      </c>
      <c r="C28" s="59"/>
      <c r="D28" s="25"/>
      <c r="E28" s="8" t="s">
        <v>17</v>
      </c>
      <c r="F28" s="6" t="s">
        <v>116</v>
      </c>
      <c r="G28" s="139"/>
      <c r="H28" s="9">
        <f t="shared" si="0"/>
        <v>12.060015345570958</v>
      </c>
      <c r="I28" s="9">
        <f t="shared" si="1"/>
        <v>6.181833662244014</v>
      </c>
      <c r="J28" s="9">
        <f t="shared" si="2"/>
        <v>0.30365197891707074</v>
      </c>
      <c r="K28" s="9">
        <f t="shared" si="3"/>
        <v>0.4318336622440148</v>
      </c>
      <c r="L28" s="9">
        <f t="shared" si="4"/>
        <v>0.5600153455709589</v>
      </c>
      <c r="M28" s="9">
        <f t="shared" si="5"/>
        <v>0.6881970288979029</v>
      </c>
      <c r="N28" s="9">
        <f t="shared" si="6"/>
        <v>0.8163787122248469</v>
      </c>
      <c r="O28" s="9">
        <f t="shared" si="7"/>
        <v>0.9381970288979029</v>
      </c>
      <c r="P28" s="9">
        <f>sunrise(Location!$B$4,Location!$B$5,Location!$B$6,3,A28,Location!$B$7,IF(Location!$B$8="No",0,1))</f>
        <v>0.30365197891707074</v>
      </c>
      <c r="Q28" s="9">
        <f>sunset(Location!$B$4,Location!$B$5,Location!$B$6,3,A28,Location!$B$7,IF(Location!$B$8="No",0,1))</f>
        <v>0.8163787122248469</v>
      </c>
      <c r="R28" s="9">
        <f t="shared" si="8"/>
        <v>0.5127267333077762</v>
      </c>
      <c r="S28" s="10">
        <f t="shared" si="9"/>
        <v>0.04272722777564802</v>
      </c>
      <c r="T28" s="9">
        <f t="shared" si="10"/>
        <v>23.487273266692224</v>
      </c>
      <c r="U28" s="10">
        <f t="shared" si="11"/>
        <v>0.04060610555768531</v>
      </c>
    </row>
    <row r="29" spans="1:21" ht="12.75">
      <c r="A29" s="5">
        <v>27</v>
      </c>
      <c r="B29" s="6" t="str">
        <f t="shared" si="14"/>
        <v>Saturday</v>
      </c>
      <c r="C29" s="59"/>
      <c r="D29" s="25" t="s">
        <v>53</v>
      </c>
      <c r="E29" s="8" t="s">
        <v>21</v>
      </c>
      <c r="F29" s="6" t="s">
        <v>117</v>
      </c>
      <c r="G29" s="139"/>
      <c r="H29" s="9">
        <f t="shared" si="0"/>
        <v>12.059805659857073</v>
      </c>
      <c r="I29" s="9">
        <f t="shared" si="1"/>
        <v>6.1813141060247005</v>
      </c>
      <c r="J29" s="9">
        <f t="shared" si="2"/>
        <v>0.30282255219232806</v>
      </c>
      <c r="K29" s="9">
        <f t="shared" si="3"/>
        <v>0.431314106024701</v>
      </c>
      <c r="L29" s="9">
        <f t="shared" si="4"/>
        <v>0.559805659857074</v>
      </c>
      <c r="M29" s="9">
        <f t="shared" si="5"/>
        <v>0.688297213689447</v>
      </c>
      <c r="N29" s="9">
        <f t="shared" si="6"/>
        <v>0.81678876752182</v>
      </c>
      <c r="O29" s="9">
        <f t="shared" si="7"/>
        <v>0.938297213689447</v>
      </c>
      <c r="P29" s="9">
        <f>sunrise(Location!$B$4,Location!$B$5,Location!$B$6,3,A29,Location!$B$7,IF(Location!$B$8="No",0,1))</f>
        <v>0.30282255219232806</v>
      </c>
      <c r="Q29" s="9">
        <f>sunset(Location!$B$4,Location!$B$5,Location!$B$6,3,A29,Location!$B$7,IF(Location!$B$8="No",0,1))</f>
        <v>0.81678876752182</v>
      </c>
      <c r="R29" s="9">
        <f t="shared" si="8"/>
        <v>0.5139662153294919</v>
      </c>
      <c r="S29" s="10">
        <f t="shared" si="9"/>
        <v>0.042830517944124326</v>
      </c>
      <c r="T29" s="9">
        <f t="shared" si="10"/>
        <v>23.486033784670507</v>
      </c>
      <c r="U29" s="10">
        <f t="shared" si="11"/>
        <v>0.040502815389209</v>
      </c>
    </row>
    <row r="30" spans="1:21" ht="12.75">
      <c r="A30" s="5">
        <v>28</v>
      </c>
      <c r="B30" s="6" t="str">
        <f t="shared" si="14"/>
        <v>Sunday</v>
      </c>
      <c r="C30" s="59"/>
      <c r="D30" s="25" t="s">
        <v>55</v>
      </c>
      <c r="E30" s="8" t="s">
        <v>24</v>
      </c>
      <c r="F30" s="6" t="s">
        <v>118</v>
      </c>
      <c r="G30" s="140" t="s">
        <v>157</v>
      </c>
      <c r="H30" s="9">
        <f t="shared" si="0"/>
        <v>12.059596233998644</v>
      </c>
      <c r="I30" s="9">
        <f t="shared" si="1"/>
        <v>6.1807951902119</v>
      </c>
      <c r="J30" s="9">
        <f t="shared" si="2"/>
        <v>0.30199414642515765</v>
      </c>
      <c r="K30" s="9">
        <f t="shared" si="3"/>
        <v>0.4307951902119007</v>
      </c>
      <c r="L30" s="9">
        <f t="shared" si="4"/>
        <v>0.5595962339986438</v>
      </c>
      <c r="M30" s="9">
        <f t="shared" si="5"/>
        <v>0.6883972777853868</v>
      </c>
      <c r="N30" s="9">
        <f t="shared" si="6"/>
        <v>0.8171983215721299</v>
      </c>
      <c r="O30" s="9">
        <f t="shared" si="7"/>
        <v>0.9383972777853868</v>
      </c>
      <c r="P30" s="9">
        <f>sunrise(Location!$B$4,Location!$B$5,Location!$B$6,3,A30,Location!$B$7,IF(Location!$B$8="No",0,1))</f>
        <v>0.30199414642515765</v>
      </c>
      <c r="Q30" s="9">
        <f>sunset(Location!$B$4,Location!$B$5,Location!$B$6,3,A30,Location!$B$7,IF(Location!$B$8="No",0,1))</f>
        <v>0.8171983215721299</v>
      </c>
      <c r="R30" s="9">
        <f t="shared" si="8"/>
        <v>0.5152041751469723</v>
      </c>
      <c r="S30" s="10">
        <f t="shared" si="9"/>
        <v>0.04293368126224769</v>
      </c>
      <c r="T30" s="9">
        <f t="shared" si="10"/>
        <v>23.484795824853027</v>
      </c>
      <c r="U30" s="10">
        <f t="shared" si="11"/>
        <v>0.04039965207108564</v>
      </c>
    </row>
    <row r="31" spans="1:21" ht="12.75">
      <c r="A31" s="5">
        <v>29</v>
      </c>
      <c r="B31" s="6" t="str">
        <f>B3</f>
        <v>Monday</v>
      </c>
      <c r="C31" s="59"/>
      <c r="D31" s="25"/>
      <c r="E31" s="8" t="s">
        <v>26</v>
      </c>
      <c r="F31" s="6" t="s">
        <v>119</v>
      </c>
      <c r="G31" s="140" t="s">
        <v>276</v>
      </c>
      <c r="H31" s="9">
        <f t="shared" si="0"/>
        <v>12.059387292865846</v>
      </c>
      <c r="I31" s="9">
        <f t="shared" si="1"/>
        <v>6.180277185810709</v>
      </c>
      <c r="J31" s="9">
        <f t="shared" si="2"/>
        <v>0.3011670787555717</v>
      </c>
      <c r="K31" s="9">
        <f t="shared" si="3"/>
        <v>0.43027718581070934</v>
      </c>
      <c r="L31" s="9">
        <f t="shared" si="4"/>
        <v>0.559387292865847</v>
      </c>
      <c r="M31" s="9">
        <f t="shared" si="5"/>
        <v>0.6884973999209846</v>
      </c>
      <c r="N31" s="9">
        <f t="shared" si="6"/>
        <v>0.8176075069761222</v>
      </c>
      <c r="O31" s="9">
        <f t="shared" si="7"/>
        <v>0.9384973999209846</v>
      </c>
      <c r="P31" s="9">
        <f>sunrise(Location!$B$4,Location!$B$5,Location!$B$6,3,A31,Location!$B$7,IF(Location!$B$8="No",0,1))</f>
        <v>0.3011670787555717</v>
      </c>
      <c r="Q31" s="9">
        <f>sunset(Location!$B$4,Location!$B$5,Location!$B$6,3,A31,Location!$B$7,IF(Location!$B$8="No",0,1))</f>
        <v>0.8176075069761222</v>
      </c>
      <c r="R31" s="9">
        <f t="shared" si="8"/>
        <v>0.5164404282205505</v>
      </c>
      <c r="S31" s="10">
        <f t="shared" si="9"/>
        <v>0.04303670235171254</v>
      </c>
      <c r="T31" s="9">
        <f t="shared" si="10"/>
        <v>23.48355957177945</v>
      </c>
      <c r="U31" s="10">
        <f t="shared" si="11"/>
        <v>0.04029663098162079</v>
      </c>
    </row>
    <row r="32" spans="1:21" ht="12.75">
      <c r="A32" s="5">
        <v>30</v>
      </c>
      <c r="B32" s="6" t="str">
        <f>B4</f>
        <v>Tuesday</v>
      </c>
      <c r="C32" s="59"/>
      <c r="D32" s="25" t="s">
        <v>59</v>
      </c>
      <c r="E32" s="8" t="s">
        <v>29</v>
      </c>
      <c r="F32" s="6" t="s">
        <v>120</v>
      </c>
      <c r="G32" s="140" t="s">
        <v>277</v>
      </c>
      <c r="H32" s="9">
        <f t="shared" si="0"/>
        <v>12.059179059477852</v>
      </c>
      <c r="I32" s="9">
        <f t="shared" si="1"/>
        <v>6.1797603624635356</v>
      </c>
      <c r="J32" s="9">
        <f t="shared" si="2"/>
        <v>0.3003416654492187</v>
      </c>
      <c r="K32" s="9">
        <f t="shared" si="3"/>
        <v>0.42976036246353555</v>
      </c>
      <c r="L32" s="9">
        <f t="shared" si="4"/>
        <v>0.5591790594778524</v>
      </c>
      <c r="M32" s="9">
        <f t="shared" si="5"/>
        <v>0.6885977564921693</v>
      </c>
      <c r="N32" s="9">
        <f t="shared" si="6"/>
        <v>0.8180164535064861</v>
      </c>
      <c r="O32" s="9">
        <f t="shared" si="7"/>
        <v>0.9385977564921693</v>
      </c>
      <c r="P32" s="9">
        <f>sunrise(Location!$B$4,Location!$B$5,Location!$B$6,3,A32,Location!$B$7,IF(Location!$B$8="No",0,1))</f>
        <v>0.3003416654492187</v>
      </c>
      <c r="Q32" s="9">
        <f>sunset(Location!$B$4,Location!$B$5,Location!$B$6,3,A32,Location!$B$7,IF(Location!$B$8="No",0,1))</f>
        <v>0.8180164535064861</v>
      </c>
      <c r="R32" s="9">
        <f t="shared" si="8"/>
        <v>0.5176747880572674</v>
      </c>
      <c r="S32" s="10">
        <f t="shared" si="9"/>
        <v>0.04313956567143895</v>
      </c>
      <c r="T32" s="9">
        <f t="shared" si="10"/>
        <v>23.482325211942733</v>
      </c>
      <c r="U32" s="10">
        <f t="shared" si="11"/>
        <v>0.04019376766189438</v>
      </c>
    </row>
    <row r="33" spans="1:21" ht="12.75">
      <c r="A33" s="5">
        <v>31</v>
      </c>
      <c r="B33" s="6" t="str">
        <f>B5</f>
        <v>Wednesday</v>
      </c>
      <c r="C33" s="59"/>
      <c r="D33" s="25" t="s">
        <v>61</v>
      </c>
      <c r="E33" s="8" t="s">
        <v>32</v>
      </c>
      <c r="F33" s="6" t="s">
        <v>78</v>
      </c>
      <c r="G33" s="140" t="s">
        <v>278</v>
      </c>
      <c r="H33" s="9">
        <f t="shared" si="0"/>
        <v>12.058971754892916</v>
      </c>
      <c r="I33" s="9">
        <f t="shared" si="1"/>
        <v>6.179244988414241</v>
      </c>
      <c r="J33" s="9">
        <f t="shared" si="2"/>
        <v>0.29951822193556527</v>
      </c>
      <c r="K33" s="9">
        <f t="shared" si="3"/>
        <v>0.42924498841424097</v>
      </c>
      <c r="L33" s="9">
        <f t="shared" si="4"/>
        <v>0.5589717548929167</v>
      </c>
      <c r="M33" s="9">
        <f t="shared" si="5"/>
        <v>0.6886985213715925</v>
      </c>
      <c r="N33" s="9">
        <f t="shared" si="6"/>
        <v>0.8184252878502682</v>
      </c>
      <c r="O33" s="9">
        <f t="shared" si="7"/>
        <v>0.9386985213715925</v>
      </c>
      <c r="P33" s="9">
        <f>sunrise(Location!$B$4,Location!$B$5,Location!$B$6,3,A33,Location!$B$7,IF(Location!$B$8="No",0,1))</f>
        <v>0.29951822193556527</v>
      </c>
      <c r="Q33" s="9">
        <f>sunset(Location!$B$4,Location!$B$5,Location!$B$6,3,A33,Location!$B$7,IF(Location!$B$8="No",0,1))</f>
        <v>0.8184252878502682</v>
      </c>
      <c r="R33" s="9">
        <f t="shared" si="8"/>
        <v>0.518907065914703</v>
      </c>
      <c r="S33" s="10">
        <f t="shared" si="9"/>
        <v>0.04324225549289192</v>
      </c>
      <c r="T33" s="9">
        <f t="shared" si="10"/>
        <v>23.481092934085297</v>
      </c>
      <c r="U33" s="10">
        <f t="shared" si="11"/>
        <v>0.04009107784044141</v>
      </c>
    </row>
    <row r="34" spans="1:21" ht="12.75">
      <c r="A34" s="6"/>
      <c r="B34" s="6"/>
      <c r="C34" s="6"/>
      <c r="D34" s="6"/>
      <c r="F34" s="6"/>
      <c r="G34" s="15"/>
      <c r="H34" s="9"/>
      <c r="I34" s="9"/>
      <c r="J34" s="9"/>
      <c r="K34" s="9"/>
      <c r="L34" s="9"/>
      <c r="M34" s="9"/>
      <c r="N34" s="9"/>
      <c r="O34" s="9"/>
      <c r="P34" s="9"/>
      <c r="Q34" s="9"/>
      <c r="R34" s="9"/>
      <c r="S34" s="10"/>
      <c r="T34" s="9"/>
      <c r="U34" s="10"/>
    </row>
    <row r="35" spans="1:21" ht="12.75">
      <c r="A35" s="6"/>
      <c r="C35" s="6"/>
      <c r="D35" s="6"/>
      <c r="E35" s="11"/>
      <c r="F35" s="6"/>
      <c r="G35" s="15"/>
      <c r="H35" s="9"/>
      <c r="I35" s="9"/>
      <c r="J35" s="9"/>
      <c r="K35" s="9"/>
      <c r="L35" s="9"/>
      <c r="M35" s="9"/>
      <c r="N35" s="9"/>
      <c r="O35" s="9"/>
      <c r="P35" s="9"/>
      <c r="Q35" s="9"/>
      <c r="R35" s="9"/>
      <c r="S35" s="10"/>
      <c r="T35" s="9"/>
      <c r="U35" s="10"/>
    </row>
    <row r="36" spans="1:21" ht="12.75">
      <c r="A36" s="6"/>
      <c r="B36" s="6"/>
      <c r="C36" s="6"/>
      <c r="D36" s="40">
        <f>Location!C12</f>
        <v>16</v>
      </c>
      <c r="E36" s="13"/>
      <c r="F36" s="6"/>
      <c r="G36" s="15"/>
      <c r="H36" s="9"/>
      <c r="I36" s="9"/>
      <c r="J36" s="9"/>
      <c r="K36" s="9"/>
      <c r="L36" s="9"/>
      <c r="M36" s="9"/>
      <c r="N36" s="9"/>
      <c r="O36" s="9"/>
      <c r="P36" s="9"/>
      <c r="Q36" s="9"/>
      <c r="R36" s="9"/>
      <c r="S36" s="10"/>
      <c r="T36" s="9"/>
      <c r="U36" s="10"/>
    </row>
    <row r="37" spans="1:21" ht="12.75">
      <c r="A37" s="6"/>
      <c r="B37" s="6"/>
      <c r="C37" s="58" t="str">
        <f>IF(Location!B9="No",Location!C13,Location!C14)</f>
        <v>C</v>
      </c>
      <c r="D37" s="6"/>
      <c r="E37" s="13"/>
      <c r="F37" s="6"/>
      <c r="G37" s="15"/>
      <c r="H37" s="9"/>
      <c r="I37" s="9"/>
      <c r="J37" s="9"/>
      <c r="K37" s="9"/>
      <c r="L37" s="9"/>
      <c r="M37" s="9"/>
      <c r="N37" s="9"/>
      <c r="O37" s="9"/>
      <c r="P37" s="9"/>
      <c r="Q37" s="9"/>
      <c r="R37" s="9"/>
      <c r="S37" s="10"/>
      <c r="T37" s="9"/>
      <c r="U37" s="10"/>
    </row>
    <row r="38" spans="1:21" ht="12.75">
      <c r="A38" s="6"/>
      <c r="B38" s="6"/>
      <c r="C38" s="6"/>
      <c r="D38" s="6"/>
      <c r="E38" s="6"/>
      <c r="F38" s="6"/>
      <c r="G38" s="15"/>
      <c r="H38" s="9"/>
      <c r="I38" s="9"/>
      <c r="J38" s="9"/>
      <c r="K38" s="9"/>
      <c r="L38" s="9"/>
      <c r="M38" s="9"/>
      <c r="N38" s="9"/>
      <c r="O38" s="9"/>
      <c r="P38" s="9"/>
      <c r="Q38" s="9"/>
      <c r="R38" s="9"/>
      <c r="S38" s="10"/>
      <c r="T38" s="9"/>
      <c r="U38" s="10"/>
    </row>
    <row r="39" spans="1:21" ht="12.75">
      <c r="A39" s="6"/>
      <c r="C39" s="6"/>
      <c r="E39" s="6"/>
      <c r="F39" s="6"/>
      <c r="G39" s="15"/>
      <c r="H39" s="9"/>
      <c r="I39" s="9"/>
      <c r="J39" s="9"/>
      <c r="K39" s="9"/>
      <c r="L39" s="9"/>
      <c r="M39" s="9"/>
      <c r="N39" s="9"/>
      <c r="O39" s="9"/>
      <c r="P39" s="9"/>
      <c r="Q39" s="9"/>
      <c r="R39" s="9"/>
      <c r="S39" s="10"/>
      <c r="T39" s="9"/>
      <c r="U39" s="10"/>
    </row>
    <row r="40" ht="12.75">
      <c r="G40" s="2"/>
    </row>
    <row r="41" ht="12.75">
      <c r="G41" s="2"/>
    </row>
    <row r="42" ht="12.75">
      <c r="G42" s="2"/>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ht="12.75">
      <c r="G66" s="2"/>
    </row>
    <row r="67" ht="12.75">
      <c r="G67" s="2"/>
    </row>
    <row r="68" ht="12.75">
      <c r="G68" s="2"/>
    </row>
    <row r="69" spans="2:7" ht="12.75">
      <c r="B69" s="6"/>
      <c r="D69" s="6"/>
      <c r="G69" s="2"/>
    </row>
    <row r="70" spans="1:21" ht="12.75">
      <c r="A70" s="6"/>
      <c r="B70" s="6"/>
      <c r="C70" s="6"/>
      <c r="D70" s="6"/>
      <c r="E70" s="6"/>
      <c r="F70" s="6"/>
      <c r="G70" s="15"/>
      <c r="H70" s="9"/>
      <c r="I70" s="9"/>
      <c r="J70" s="9"/>
      <c r="K70" s="9"/>
      <c r="L70" s="9"/>
      <c r="M70" s="9"/>
      <c r="N70" s="9"/>
      <c r="O70" s="9"/>
      <c r="P70" s="9"/>
      <c r="Q70" s="9"/>
      <c r="R70" s="9"/>
      <c r="S70" s="10"/>
      <c r="T70" s="9"/>
      <c r="U70" s="10"/>
    </row>
    <row r="71" spans="1:21" ht="12.75">
      <c r="A71" s="6"/>
      <c r="B71" s="6"/>
      <c r="C71" s="6"/>
      <c r="D71" s="6"/>
      <c r="E71" s="6"/>
      <c r="F71" s="6"/>
      <c r="G71" s="15"/>
      <c r="H71" s="9"/>
      <c r="I71" s="9"/>
      <c r="J71" s="9"/>
      <c r="K71" s="9"/>
      <c r="L71" s="9"/>
      <c r="M71" s="9"/>
      <c r="N71" s="9"/>
      <c r="O71" s="9"/>
      <c r="P71" s="9"/>
      <c r="Q71" s="9"/>
      <c r="R71" s="9"/>
      <c r="S71" s="10"/>
      <c r="T71" s="9"/>
      <c r="U71" s="10"/>
    </row>
    <row r="72" spans="1:21" ht="12.75">
      <c r="A72" s="6"/>
      <c r="B72" s="6"/>
      <c r="C72" s="6"/>
      <c r="D72" s="6"/>
      <c r="E72" s="6"/>
      <c r="F72" s="6"/>
      <c r="G72" s="15"/>
      <c r="H72" s="9"/>
      <c r="I72" s="9"/>
      <c r="J72" s="9"/>
      <c r="K72" s="9"/>
      <c r="L72" s="9"/>
      <c r="M72" s="9"/>
      <c r="N72" s="9"/>
      <c r="O72" s="9"/>
      <c r="P72" s="9"/>
      <c r="Q72" s="9"/>
      <c r="R72" s="9"/>
      <c r="S72" s="10"/>
      <c r="T72" s="9"/>
      <c r="U72" s="10"/>
    </row>
    <row r="73" spans="1:21" ht="12.75">
      <c r="A73" s="6"/>
      <c r="B73" s="6"/>
      <c r="C73" s="6"/>
      <c r="D73" s="6"/>
      <c r="E73" s="6"/>
      <c r="F73" s="6"/>
      <c r="G73" s="15"/>
      <c r="H73" s="9"/>
      <c r="I73" s="9"/>
      <c r="J73" s="9"/>
      <c r="K73" s="9"/>
      <c r="L73" s="9"/>
      <c r="M73" s="9"/>
      <c r="N73" s="9"/>
      <c r="O73" s="9"/>
      <c r="P73" s="9"/>
      <c r="Q73" s="9"/>
      <c r="R73" s="9"/>
      <c r="S73" s="10"/>
      <c r="T73" s="9"/>
      <c r="U73" s="10"/>
    </row>
    <row r="74" spans="1:21" ht="12.75">
      <c r="A74" s="6"/>
      <c r="B74" s="6"/>
      <c r="C74" s="6"/>
      <c r="D74" s="6"/>
      <c r="E74" s="6"/>
      <c r="F74" s="6"/>
      <c r="G74" s="15"/>
      <c r="H74" s="9"/>
      <c r="I74" s="9"/>
      <c r="J74" s="9"/>
      <c r="K74" s="9"/>
      <c r="L74" s="9"/>
      <c r="M74" s="9"/>
      <c r="N74" s="9"/>
      <c r="O74" s="9"/>
      <c r="P74" s="9"/>
      <c r="Q74" s="9"/>
      <c r="R74" s="9"/>
      <c r="S74" s="10"/>
      <c r="T74" s="9"/>
      <c r="U74" s="10"/>
    </row>
    <row r="75" spans="1:21" ht="12.75">
      <c r="A75" s="6"/>
      <c r="B75" s="6"/>
      <c r="C75" s="6"/>
      <c r="D75" s="6"/>
      <c r="E75" s="6"/>
      <c r="F75" s="6"/>
      <c r="G75" s="15"/>
      <c r="H75" s="9"/>
      <c r="I75" s="9"/>
      <c r="J75" s="9"/>
      <c r="K75" s="9"/>
      <c r="L75" s="9"/>
      <c r="M75" s="9"/>
      <c r="N75" s="9"/>
      <c r="O75" s="9"/>
      <c r="P75" s="9"/>
      <c r="Q75" s="9"/>
      <c r="R75" s="9"/>
      <c r="S75" s="10"/>
      <c r="T75" s="9"/>
      <c r="U75" s="10"/>
    </row>
    <row r="76" spans="1:21" ht="12.75">
      <c r="A76" s="6"/>
      <c r="B76" s="6"/>
      <c r="C76" s="6"/>
      <c r="D76" s="6"/>
      <c r="E76" s="6"/>
      <c r="F76" s="6"/>
      <c r="G76" s="14"/>
      <c r="H76" s="9"/>
      <c r="I76" s="9"/>
      <c r="J76" s="9"/>
      <c r="K76" s="9"/>
      <c r="L76" s="9"/>
      <c r="M76" s="9"/>
      <c r="N76" s="9"/>
      <c r="O76" s="9"/>
      <c r="P76" s="9"/>
      <c r="Q76" s="9"/>
      <c r="R76" s="9"/>
      <c r="S76" s="10"/>
      <c r="T76" s="9"/>
      <c r="U76" s="10"/>
    </row>
    <row r="77" spans="1:21" ht="12.75">
      <c r="A77" s="6"/>
      <c r="B77" s="6"/>
      <c r="C77" s="6"/>
      <c r="D77" s="6"/>
      <c r="E77" s="6"/>
      <c r="F77" s="6"/>
      <c r="G77" s="14"/>
      <c r="H77" s="9"/>
      <c r="I77" s="9"/>
      <c r="J77" s="9"/>
      <c r="K77" s="9"/>
      <c r="L77" s="9"/>
      <c r="M77" s="9"/>
      <c r="N77" s="9"/>
      <c r="O77" s="9"/>
      <c r="P77" s="9"/>
      <c r="Q77" s="9"/>
      <c r="R77" s="9"/>
      <c r="S77" s="10"/>
      <c r="T77" s="9"/>
      <c r="U77" s="10"/>
    </row>
    <row r="78" spans="1:21" ht="12.75">
      <c r="A78" s="6"/>
      <c r="B78" s="6"/>
      <c r="C78" s="6"/>
      <c r="D78" s="6"/>
      <c r="E78" s="6"/>
      <c r="F78" s="6"/>
      <c r="G78" s="14"/>
      <c r="H78" s="9"/>
      <c r="I78" s="9"/>
      <c r="J78" s="9"/>
      <c r="K78" s="9"/>
      <c r="L78" s="9"/>
      <c r="M78" s="9"/>
      <c r="N78" s="9"/>
      <c r="O78" s="9"/>
      <c r="P78" s="9"/>
      <c r="Q78" s="9"/>
      <c r="R78" s="9"/>
      <c r="S78" s="10"/>
      <c r="T78" s="9"/>
      <c r="U78" s="10"/>
    </row>
    <row r="79" spans="1:21" ht="12.75">
      <c r="A79" s="6"/>
      <c r="C79" s="6"/>
      <c r="E79" s="6"/>
      <c r="F79" s="6"/>
      <c r="G79" s="14"/>
      <c r="H79" s="9"/>
      <c r="I79" s="9"/>
      <c r="J79" s="9"/>
      <c r="K79" s="9"/>
      <c r="L79" s="9"/>
      <c r="M79" s="9"/>
      <c r="N79" s="9"/>
      <c r="O79" s="9"/>
      <c r="P79" s="9"/>
      <c r="Q79" s="9"/>
      <c r="R79" s="9"/>
      <c r="S79" s="10"/>
      <c r="T79" s="9"/>
      <c r="U79" s="10"/>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ht="12.75">
      <c r="G109" s="2"/>
    </row>
    <row r="110" ht="12.75">
      <c r="G110" s="2"/>
    </row>
    <row r="111" ht="12.75">
      <c r="G111" s="2"/>
    </row>
    <row r="112" spans="2:7" ht="12.75">
      <c r="B112" s="6"/>
      <c r="D112" s="6"/>
      <c r="G112" s="2"/>
    </row>
    <row r="113" spans="1:21" ht="12.75">
      <c r="A113" s="6"/>
      <c r="B113" s="6"/>
      <c r="C113" s="6"/>
      <c r="D113" s="6"/>
      <c r="E113" s="6"/>
      <c r="F113" s="6"/>
      <c r="G113" s="14"/>
      <c r="H113" s="9"/>
      <c r="I113" s="9"/>
      <c r="J113" s="9"/>
      <c r="K113" s="9"/>
      <c r="L113" s="9"/>
      <c r="M113" s="9"/>
      <c r="N113" s="9"/>
      <c r="O113" s="9"/>
      <c r="P113" s="9"/>
      <c r="Q113" s="9"/>
      <c r="R113" s="9"/>
      <c r="S113" s="10"/>
      <c r="T113" s="9"/>
      <c r="U113" s="10"/>
    </row>
    <row r="114" spans="1:21" ht="12.75">
      <c r="A114" s="6"/>
      <c r="B114" s="6"/>
      <c r="C114" s="6"/>
      <c r="D114" s="6"/>
      <c r="E114" s="6"/>
      <c r="F114" s="6"/>
      <c r="G114" s="14"/>
      <c r="H114" s="9"/>
      <c r="I114" s="9"/>
      <c r="J114" s="9"/>
      <c r="K114" s="9"/>
      <c r="L114" s="9"/>
      <c r="M114" s="9"/>
      <c r="N114" s="9"/>
      <c r="O114" s="9"/>
      <c r="P114" s="9"/>
      <c r="Q114" s="9"/>
      <c r="R114" s="9"/>
      <c r="S114" s="10"/>
      <c r="T114" s="9"/>
      <c r="U114" s="10"/>
    </row>
    <row r="115" spans="1:21" ht="12.75">
      <c r="A115" s="6"/>
      <c r="B115" s="6"/>
      <c r="C115" s="6"/>
      <c r="D115" s="6"/>
      <c r="E115" s="6"/>
      <c r="F115" s="6"/>
      <c r="G115" s="14"/>
      <c r="H115" s="9"/>
      <c r="I115" s="9"/>
      <c r="J115" s="9"/>
      <c r="K115" s="9"/>
      <c r="L115" s="9"/>
      <c r="M115" s="9"/>
      <c r="N115" s="9"/>
      <c r="O115" s="9"/>
      <c r="P115" s="9"/>
      <c r="Q115" s="9"/>
      <c r="R115" s="9"/>
      <c r="S115" s="10"/>
      <c r="T115" s="9"/>
      <c r="U115" s="10"/>
    </row>
    <row r="116" spans="1:21" ht="12.75">
      <c r="A116" s="6"/>
      <c r="B116" s="6"/>
      <c r="C116" s="6"/>
      <c r="D116" s="6"/>
      <c r="E116" s="6"/>
      <c r="F116" s="6"/>
      <c r="G116" s="14"/>
      <c r="H116" s="9"/>
      <c r="I116" s="9"/>
      <c r="J116" s="9"/>
      <c r="K116" s="9"/>
      <c r="L116" s="9"/>
      <c r="M116" s="9"/>
      <c r="N116" s="9"/>
      <c r="O116" s="9"/>
      <c r="P116" s="9"/>
      <c r="Q116" s="9"/>
      <c r="R116" s="9"/>
      <c r="S116" s="10"/>
      <c r="T116" s="9"/>
      <c r="U116" s="10"/>
    </row>
    <row r="117" spans="1:21" ht="12.75">
      <c r="A117" s="6"/>
      <c r="B117" s="6"/>
      <c r="C117" s="6"/>
      <c r="D117" s="6"/>
      <c r="E117" s="6"/>
      <c r="F117" s="6"/>
      <c r="G117" s="14"/>
      <c r="H117" s="9"/>
      <c r="I117" s="9"/>
      <c r="J117" s="9"/>
      <c r="K117" s="9"/>
      <c r="L117" s="9"/>
      <c r="M117" s="9"/>
      <c r="N117" s="9"/>
      <c r="O117" s="9"/>
      <c r="P117" s="9"/>
      <c r="Q117" s="9"/>
      <c r="R117" s="9"/>
      <c r="S117" s="10"/>
      <c r="T117" s="9"/>
      <c r="U117" s="10"/>
    </row>
    <row r="118" spans="1:21" ht="12.75">
      <c r="A118" s="6"/>
      <c r="B118" s="6"/>
      <c r="C118" s="6"/>
      <c r="D118" s="6"/>
      <c r="E118" s="6"/>
      <c r="F118" s="6"/>
      <c r="G118" s="14"/>
      <c r="H118" s="9"/>
      <c r="I118" s="9"/>
      <c r="J118" s="9"/>
      <c r="K118" s="9"/>
      <c r="L118" s="9"/>
      <c r="M118" s="9"/>
      <c r="N118" s="9"/>
      <c r="O118" s="9"/>
      <c r="P118" s="9"/>
      <c r="Q118" s="9"/>
      <c r="R118" s="9"/>
      <c r="S118" s="10"/>
      <c r="T118" s="9"/>
      <c r="U118" s="10"/>
    </row>
    <row r="119" spans="1:21" ht="12.75">
      <c r="A119" s="6"/>
      <c r="C119" s="6"/>
      <c r="E119" s="6"/>
      <c r="F119" s="6"/>
      <c r="G119" s="14"/>
      <c r="H119" s="9"/>
      <c r="I119" s="9"/>
      <c r="J119" s="9"/>
      <c r="K119" s="9"/>
      <c r="L119" s="9"/>
      <c r="M119" s="9"/>
      <c r="N119" s="9"/>
      <c r="O119" s="9"/>
      <c r="P119" s="9"/>
      <c r="Q119" s="9"/>
      <c r="R119" s="9"/>
      <c r="S119" s="10"/>
      <c r="T119" s="9"/>
      <c r="U119" s="10"/>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ht="12.75">
      <c r="G148" s="2"/>
    </row>
    <row r="149" ht="12.75">
      <c r="G149" s="2"/>
    </row>
    <row r="150" ht="12.75">
      <c r="G150" s="2"/>
    </row>
    <row r="151" spans="2:7" ht="12.75">
      <c r="B151" s="6"/>
      <c r="D151" s="6"/>
      <c r="G151" s="2"/>
    </row>
    <row r="152" spans="1:21" ht="12.75">
      <c r="A152" s="6"/>
      <c r="B152" s="6"/>
      <c r="C152" s="6"/>
      <c r="D152" s="6"/>
      <c r="E152" s="6"/>
      <c r="F152" s="6"/>
      <c r="G152" s="14"/>
      <c r="H152" s="9"/>
      <c r="I152" s="9"/>
      <c r="J152" s="9"/>
      <c r="K152" s="9"/>
      <c r="L152" s="9"/>
      <c r="M152" s="9"/>
      <c r="N152" s="9"/>
      <c r="O152" s="9"/>
      <c r="P152" s="9"/>
      <c r="Q152" s="9"/>
      <c r="R152" s="9"/>
      <c r="S152" s="10"/>
      <c r="T152" s="9"/>
      <c r="U152" s="10"/>
    </row>
    <row r="153" spans="1:21" ht="12.75">
      <c r="A153" s="6"/>
      <c r="B153" s="6"/>
      <c r="C153" s="6"/>
      <c r="D153" s="6"/>
      <c r="E153" s="6"/>
      <c r="F153" s="6"/>
      <c r="G153" s="14"/>
      <c r="H153" s="9"/>
      <c r="I153" s="9"/>
      <c r="J153" s="9"/>
      <c r="K153" s="9"/>
      <c r="L153" s="9"/>
      <c r="M153" s="9"/>
      <c r="N153" s="9"/>
      <c r="O153" s="9"/>
      <c r="P153" s="9"/>
      <c r="Q153" s="9"/>
      <c r="R153" s="9"/>
      <c r="S153" s="10"/>
      <c r="T153" s="9"/>
      <c r="U153" s="10"/>
    </row>
    <row r="154" spans="1:21" ht="12.75">
      <c r="A154" s="6"/>
      <c r="B154" s="6"/>
      <c r="C154" s="6"/>
      <c r="D154" s="6"/>
      <c r="E154" s="6"/>
      <c r="F154" s="6"/>
      <c r="G154" s="14"/>
      <c r="H154" s="9"/>
      <c r="I154" s="9"/>
      <c r="J154" s="9"/>
      <c r="K154" s="9"/>
      <c r="L154" s="9"/>
      <c r="M154" s="9"/>
      <c r="N154" s="9"/>
      <c r="O154" s="9"/>
      <c r="P154" s="9"/>
      <c r="Q154" s="9"/>
      <c r="R154" s="9"/>
      <c r="S154" s="10"/>
      <c r="T154" s="9"/>
      <c r="U154" s="10"/>
    </row>
    <row r="155" spans="1:21" ht="12.75">
      <c r="A155" s="6"/>
      <c r="B155" s="6"/>
      <c r="C155" s="6"/>
      <c r="D155" s="6"/>
      <c r="E155" s="6"/>
      <c r="F155" s="6"/>
      <c r="G155" s="14"/>
      <c r="H155" s="9"/>
      <c r="I155" s="9"/>
      <c r="J155" s="9"/>
      <c r="K155" s="9"/>
      <c r="L155" s="9"/>
      <c r="M155" s="9"/>
      <c r="N155" s="9"/>
      <c r="O155" s="9"/>
      <c r="P155" s="9"/>
      <c r="Q155" s="9"/>
      <c r="R155" s="9"/>
      <c r="S155" s="10"/>
      <c r="T155" s="9"/>
      <c r="U155" s="10"/>
    </row>
    <row r="156" spans="1:21" ht="12.75">
      <c r="A156" s="6"/>
      <c r="B156" s="6"/>
      <c r="C156" s="6"/>
      <c r="D156" s="6"/>
      <c r="E156" s="6"/>
      <c r="F156" s="6"/>
      <c r="G156" s="14"/>
      <c r="H156" s="9"/>
      <c r="I156" s="9"/>
      <c r="J156" s="9"/>
      <c r="K156" s="9"/>
      <c r="L156" s="9"/>
      <c r="M156" s="9"/>
      <c r="N156" s="9"/>
      <c r="O156" s="9"/>
      <c r="P156" s="9"/>
      <c r="Q156" s="9"/>
      <c r="R156" s="9"/>
      <c r="S156" s="10"/>
      <c r="T156" s="9"/>
      <c r="U156" s="10"/>
    </row>
    <row r="157" spans="1:21" ht="12.75">
      <c r="A157" s="6"/>
      <c r="B157" s="6"/>
      <c r="C157" s="6"/>
      <c r="D157" s="6"/>
      <c r="E157" s="6"/>
      <c r="F157" s="6"/>
      <c r="G157" s="14"/>
      <c r="H157" s="9"/>
      <c r="I157" s="9"/>
      <c r="J157" s="9"/>
      <c r="K157" s="9"/>
      <c r="L157" s="9"/>
      <c r="M157" s="9"/>
      <c r="N157" s="9"/>
      <c r="O157" s="9"/>
      <c r="P157" s="9"/>
      <c r="Q157" s="9"/>
      <c r="R157" s="9"/>
      <c r="S157" s="10"/>
      <c r="T157" s="9"/>
      <c r="U157" s="10"/>
    </row>
    <row r="158" spans="1:21" ht="12.75">
      <c r="A158" s="6"/>
      <c r="C158" s="6"/>
      <c r="E158" s="6"/>
      <c r="F158" s="6"/>
      <c r="G158" s="14"/>
      <c r="H158" s="9"/>
      <c r="I158" s="9"/>
      <c r="J158" s="9"/>
      <c r="K158" s="9"/>
      <c r="L158" s="9"/>
      <c r="M158" s="9"/>
      <c r="N158" s="9"/>
      <c r="O158" s="9"/>
      <c r="P158" s="9"/>
      <c r="Q158" s="9"/>
      <c r="R158" s="9"/>
      <c r="S158" s="10"/>
      <c r="T158" s="10"/>
      <c r="U158" s="10"/>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ht="12.75">
      <c r="G188" s="2"/>
    </row>
    <row r="189" ht="12.75">
      <c r="G189" s="2"/>
    </row>
    <row r="190" ht="12.75">
      <c r="G190" s="2"/>
    </row>
    <row r="191" spans="2:7" ht="12.75">
      <c r="B191" s="6"/>
      <c r="D191" s="6"/>
      <c r="G191" s="2"/>
    </row>
    <row r="192" spans="1:21" ht="12.75">
      <c r="A192" s="6"/>
      <c r="B192" s="6"/>
      <c r="C192" s="6"/>
      <c r="D192" s="6"/>
      <c r="E192" s="6"/>
      <c r="F192" s="6"/>
      <c r="G192" s="14"/>
      <c r="H192" s="9"/>
      <c r="I192" s="9"/>
      <c r="J192" s="9"/>
      <c r="K192" s="9"/>
      <c r="L192" s="9"/>
      <c r="M192" s="9"/>
      <c r="N192" s="9"/>
      <c r="O192" s="9"/>
      <c r="P192" s="9"/>
      <c r="Q192" s="9"/>
      <c r="R192" s="9"/>
      <c r="S192" s="10"/>
      <c r="T192" s="9"/>
      <c r="U192" s="10"/>
    </row>
    <row r="193" spans="1:21" ht="12.75">
      <c r="A193" s="6"/>
      <c r="B193" s="6"/>
      <c r="C193" s="6"/>
      <c r="D193" s="6"/>
      <c r="E193" s="6"/>
      <c r="F193" s="6"/>
      <c r="G193" s="14"/>
      <c r="H193" s="9"/>
      <c r="I193" s="9"/>
      <c r="J193" s="9"/>
      <c r="K193" s="9"/>
      <c r="L193" s="9"/>
      <c r="M193" s="9"/>
      <c r="N193" s="9"/>
      <c r="O193" s="9"/>
      <c r="P193" s="9"/>
      <c r="Q193" s="9"/>
      <c r="R193" s="9"/>
      <c r="S193" s="10"/>
      <c r="T193" s="9"/>
      <c r="U193" s="10"/>
    </row>
    <row r="194" spans="1:21" ht="12.75">
      <c r="A194" s="6"/>
      <c r="B194" s="6"/>
      <c r="C194" s="6"/>
      <c r="D194" s="6"/>
      <c r="E194" s="6"/>
      <c r="F194" s="6"/>
      <c r="G194" s="14"/>
      <c r="H194" s="9"/>
      <c r="I194" s="9"/>
      <c r="J194" s="9"/>
      <c r="K194" s="9"/>
      <c r="L194" s="9"/>
      <c r="M194" s="9"/>
      <c r="N194" s="9"/>
      <c r="O194" s="9"/>
      <c r="P194" s="9"/>
      <c r="Q194" s="9"/>
      <c r="R194" s="9"/>
      <c r="S194" s="10"/>
      <c r="T194" s="9"/>
      <c r="U194" s="10"/>
    </row>
    <row r="195" spans="1:21" ht="12.75">
      <c r="A195" s="6"/>
      <c r="B195" s="6"/>
      <c r="C195" s="6"/>
      <c r="D195" s="6"/>
      <c r="E195" s="6"/>
      <c r="F195" s="6"/>
      <c r="G195" s="14"/>
      <c r="H195" s="9"/>
      <c r="I195" s="9"/>
      <c r="J195" s="9"/>
      <c r="K195" s="9"/>
      <c r="L195" s="9"/>
      <c r="M195" s="9"/>
      <c r="N195" s="9"/>
      <c r="O195" s="9"/>
      <c r="P195" s="9"/>
      <c r="Q195" s="9"/>
      <c r="R195" s="9"/>
      <c r="S195" s="10"/>
      <c r="T195" s="9"/>
      <c r="U195" s="10"/>
    </row>
    <row r="196" spans="1:21" ht="12.75">
      <c r="A196" s="6"/>
      <c r="B196" s="6"/>
      <c r="C196" s="6"/>
      <c r="D196" s="6"/>
      <c r="E196" s="6"/>
      <c r="F196" s="6"/>
      <c r="G196" s="14"/>
      <c r="H196" s="9"/>
      <c r="I196" s="9"/>
      <c r="J196" s="9"/>
      <c r="K196" s="9"/>
      <c r="L196" s="9"/>
      <c r="M196" s="9"/>
      <c r="N196" s="9"/>
      <c r="O196" s="9"/>
      <c r="P196" s="9"/>
      <c r="Q196" s="9"/>
      <c r="R196" s="9"/>
      <c r="S196" s="10"/>
      <c r="T196" s="9"/>
      <c r="U196" s="10"/>
    </row>
    <row r="197" spans="1:21" ht="12.75">
      <c r="A197" s="6"/>
      <c r="B197" s="6"/>
      <c r="C197" s="6"/>
      <c r="D197" s="6"/>
      <c r="E197" s="6"/>
      <c r="F197" s="6"/>
      <c r="G197" s="14"/>
      <c r="H197" s="9"/>
      <c r="I197" s="9"/>
      <c r="J197" s="9"/>
      <c r="K197" s="9"/>
      <c r="L197" s="9"/>
      <c r="M197" s="9"/>
      <c r="N197" s="9"/>
      <c r="O197" s="9"/>
      <c r="P197" s="9"/>
      <c r="Q197" s="9"/>
      <c r="R197" s="9"/>
      <c r="S197" s="10"/>
      <c r="T197" s="9"/>
      <c r="U197" s="10"/>
    </row>
    <row r="198" spans="1:21" ht="12.75">
      <c r="A198" s="6"/>
      <c r="C198" s="6"/>
      <c r="E198" s="6"/>
      <c r="F198" s="6"/>
      <c r="G198" s="14"/>
      <c r="H198" s="9"/>
      <c r="I198" s="9"/>
      <c r="J198" s="9"/>
      <c r="K198" s="9"/>
      <c r="L198" s="9"/>
      <c r="M198" s="9"/>
      <c r="N198" s="9"/>
      <c r="O198" s="9"/>
      <c r="P198" s="9"/>
      <c r="Q198" s="9"/>
      <c r="R198" s="9"/>
      <c r="S198" s="10"/>
      <c r="T198" s="9"/>
      <c r="U198" s="10"/>
    </row>
  </sheetData>
  <sheetProtection/>
  <conditionalFormatting sqref="E3:E33">
    <cfRule type="cellIs" priority="1" dxfId="1" operator="equal" stopIfTrue="1">
      <formula>$C$37</formula>
    </cfRule>
  </conditionalFormatting>
  <conditionalFormatting sqref="D10">
    <cfRule type="expression" priority="2" dxfId="16" stopIfTrue="1">
      <formula>$D$36=14</formula>
    </cfRule>
  </conditionalFormatting>
  <conditionalFormatting sqref="D11">
    <cfRule type="expression" priority="3" dxfId="16" stopIfTrue="1">
      <formula>$D$36=3</formula>
    </cfRule>
  </conditionalFormatting>
  <conditionalFormatting sqref="D13:D14">
    <cfRule type="expression" priority="4" dxfId="16" stopIfTrue="1">
      <formula>$D$36=11</formula>
    </cfRule>
  </conditionalFormatting>
  <conditionalFormatting sqref="D15">
    <cfRule type="expression" priority="5" dxfId="16" stopIfTrue="1">
      <formula>$D$36=19</formula>
    </cfRule>
  </conditionalFormatting>
  <conditionalFormatting sqref="D16">
    <cfRule type="expression" priority="6" dxfId="16" stopIfTrue="1">
      <formula>$D$36=8</formula>
    </cfRule>
  </conditionalFormatting>
  <conditionalFormatting sqref="D18">
    <cfRule type="expression" priority="7" dxfId="16" stopIfTrue="1">
      <formula>$D$36=16</formula>
    </cfRule>
  </conditionalFormatting>
  <conditionalFormatting sqref="D19">
    <cfRule type="expression" priority="8" dxfId="16" stopIfTrue="1">
      <formula>$D$36=5</formula>
    </cfRule>
  </conditionalFormatting>
  <conditionalFormatting sqref="D21">
    <cfRule type="expression" priority="9" dxfId="16" stopIfTrue="1">
      <formula>$D$36=13</formula>
    </cfRule>
  </conditionalFormatting>
  <conditionalFormatting sqref="D26">
    <cfRule type="expression" priority="10" dxfId="16" stopIfTrue="1">
      <formula>$D$36=18</formula>
    </cfRule>
  </conditionalFormatting>
  <conditionalFormatting sqref="D24">
    <cfRule type="expression" priority="11" dxfId="16" stopIfTrue="1">
      <formula>$D$36=10</formula>
    </cfRule>
    <cfRule type="expression" priority="12" dxfId="52" stopIfTrue="1">
      <formula>$D$36=14</formula>
    </cfRule>
  </conditionalFormatting>
  <conditionalFormatting sqref="D25">
    <cfRule type="expression" priority="13" dxfId="52" stopIfTrue="1">
      <formula>$D$36=3</formula>
    </cfRule>
  </conditionalFormatting>
  <conditionalFormatting sqref="D27">
    <cfRule type="expression" priority="14" dxfId="16" stopIfTrue="1">
      <formula>$D$36=7</formula>
    </cfRule>
    <cfRule type="expression" priority="15" dxfId="52" stopIfTrue="1">
      <formula>$D$36=11</formula>
    </cfRule>
  </conditionalFormatting>
  <conditionalFormatting sqref="D29">
    <cfRule type="expression" priority="16" dxfId="16" stopIfTrue="1">
      <formula>$D$36=15</formula>
    </cfRule>
    <cfRule type="expression" priority="17" dxfId="52" stopIfTrue="1">
      <formula>$D$36=19</formula>
    </cfRule>
  </conditionalFormatting>
  <conditionalFormatting sqref="D32">
    <cfRule type="expression" priority="18" dxfId="16" stopIfTrue="1">
      <formula>$D$36=12</formula>
    </cfRule>
    <cfRule type="expression" priority="19" dxfId="52" stopIfTrue="1">
      <formula>$D$36=16</formula>
    </cfRule>
  </conditionalFormatting>
  <conditionalFormatting sqref="D33">
    <cfRule type="expression" priority="20" dxfId="16" stopIfTrue="1">
      <formula>$D$36=1</formula>
    </cfRule>
    <cfRule type="expression" priority="21" dxfId="52" stopIfTrue="1">
      <formula>$D$36=5</formula>
    </cfRule>
  </conditionalFormatting>
  <conditionalFormatting sqref="D30">
    <cfRule type="expression" priority="22" dxfId="52" stopIfTrue="1">
      <formula>$D$36=8</formula>
    </cfRule>
    <cfRule type="expression" priority="23" dxfId="26" stopIfTrue="1">
      <formula>$D$36=4</formula>
    </cfRule>
  </conditionalFormatting>
  <conditionalFormatting sqref="D22">
    <cfRule type="expression" priority="24" dxfId="16" stopIfTrue="1">
      <formula>$D$36=2</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U165"/>
  <sheetViews>
    <sheetView zoomScale="95" zoomScaleNormal="95" zoomScalePageLayoutView="0" workbookViewId="0" topLeftCell="A1">
      <pane xSplit="7" ySplit="2" topLeftCell="J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178</v>
      </c>
      <c r="B1" s="122"/>
      <c r="C1" s="127"/>
      <c r="D1" s="123" t="str">
        <f>ROMAN(Location!$B$6)</f>
        <v>MMX</v>
      </c>
      <c r="E1" s="122"/>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3"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Martius!B27</f>
        <v>Thursday</v>
      </c>
      <c r="C3" s="59"/>
      <c r="D3" s="26"/>
      <c r="E3" s="8" t="s">
        <v>36</v>
      </c>
      <c r="F3" s="6" t="s">
        <v>18</v>
      </c>
      <c r="G3" s="143" t="s">
        <v>200</v>
      </c>
      <c r="H3" s="9">
        <f aca="true" t="shared" si="0" ref="H3:H32">(T3/2)+Q3-"12:00:00"</f>
        <v>12.05876559809937</v>
      </c>
      <c r="I3" s="9">
        <f aca="true" t="shared" si="1" ref="I3:I32">H3+((J3-H3)/2)</f>
        <v>6.178731330472318</v>
      </c>
      <c r="J3" s="9">
        <f aca="true" t="shared" si="2" ref="J3:J32">P3</f>
        <v>0.29869706284526554</v>
      </c>
      <c r="K3" s="9">
        <f aca="true" t="shared" si="3" ref="K3:K32">J3+((L3-J3)/2)</f>
        <v>0.4287313304723179</v>
      </c>
      <c r="L3" s="9">
        <f aca="true" t="shared" si="4" ref="L3:L32">(R3/2)+J3</f>
        <v>0.5587655980993702</v>
      </c>
      <c r="M3" s="9">
        <f aca="true" t="shared" si="5" ref="M3:M32">((N3-L3)/2)+L3</f>
        <v>0.6887998657264225</v>
      </c>
      <c r="N3" s="9">
        <f aca="true" t="shared" si="6" ref="N3:N32">Q3</f>
        <v>0.8188341333534748</v>
      </c>
      <c r="O3" s="9">
        <f aca="true" t="shared" si="7" ref="O3:O32">3*U3+N3</f>
        <v>0.9387998657264225</v>
      </c>
      <c r="P3" s="9">
        <f>sunrise(Location!$B$4,Location!$B$5,Location!$B$6,4,A3,Location!$B$7,IF(Location!$B$8="No",0,1))</f>
        <v>0.29869706284526554</v>
      </c>
      <c r="Q3" s="9">
        <f>sunset(Location!$B$4,Location!$B$5,Location!$B$6,4,A3,Location!$B$7,IF(Location!$B$8="No",0,1))</f>
        <v>0.8188341333534748</v>
      </c>
      <c r="R3" s="9">
        <f aca="true" t="shared" si="8" ref="R3:R32">Q3-P3</f>
        <v>0.5201370705082092</v>
      </c>
      <c r="S3" s="10">
        <f aca="true" t="shared" si="9" ref="S3:S32">R3/12</f>
        <v>0.0433447558756841</v>
      </c>
      <c r="T3" s="9">
        <f aca="true" t="shared" si="10" ref="T3:T32">(24-(Q3-P3))</f>
        <v>23.47986292949179</v>
      </c>
      <c r="U3" s="10">
        <f aca="true" t="shared" si="11" ref="U3:U32">"1:00:00"-S3+"1:00:00"</f>
        <v>0.03998857745764923</v>
      </c>
    </row>
    <row r="4" spans="1:21" ht="12.75">
      <c r="A4" s="5">
        <v>2</v>
      </c>
      <c r="B4" s="6" t="str">
        <f>Martius!B28</f>
        <v>Friday</v>
      </c>
      <c r="C4" s="59"/>
      <c r="D4" s="26" t="s">
        <v>64</v>
      </c>
      <c r="E4" s="8" t="s">
        <v>17</v>
      </c>
      <c r="F4" s="6" t="s">
        <v>93</v>
      </c>
      <c r="G4" s="143" t="s">
        <v>123</v>
      </c>
      <c r="H4" s="9">
        <f t="shared" si="0"/>
        <v>12.058560805904794</v>
      </c>
      <c r="I4" s="9">
        <f t="shared" si="1"/>
        <v>6.178219653973845</v>
      </c>
      <c r="J4" s="9">
        <f t="shared" si="2"/>
        <v>0.29787850204289684</v>
      </c>
      <c r="K4" s="9">
        <f t="shared" si="3"/>
        <v>0.42821965397384565</v>
      </c>
      <c r="L4" s="9">
        <f t="shared" si="4"/>
        <v>0.5585608059047944</v>
      </c>
      <c r="M4" s="9">
        <f t="shared" si="5"/>
        <v>0.6889019578357433</v>
      </c>
      <c r="N4" s="9">
        <f t="shared" si="6"/>
        <v>0.8192431097666921</v>
      </c>
      <c r="O4" s="9">
        <f t="shared" si="7"/>
        <v>0.9389019578357434</v>
      </c>
      <c r="P4" s="9">
        <f>sunrise(Location!$B$4,Location!$B$5,Location!$B$6,4,A4,Location!$B$7,IF(Location!$B$8="No",0,1))</f>
        <v>0.29787850204289684</v>
      </c>
      <c r="Q4" s="9">
        <f>sunset(Location!$B$4,Location!$B$5,Location!$B$6,4,A4,Location!$B$7,IF(Location!$B$8="No",0,1))</f>
        <v>0.8192431097666921</v>
      </c>
      <c r="R4" s="9">
        <f t="shared" si="8"/>
        <v>0.5213646077237952</v>
      </c>
      <c r="S4" s="10">
        <f t="shared" si="9"/>
        <v>0.0434470506436496</v>
      </c>
      <c r="T4" s="9">
        <f t="shared" si="10"/>
        <v>23.478635392276203</v>
      </c>
      <c r="U4" s="10">
        <f t="shared" si="11"/>
        <v>0.03988628268968373</v>
      </c>
    </row>
    <row r="5" spans="1:21" ht="12.75">
      <c r="A5" s="5">
        <v>3</v>
      </c>
      <c r="B5" s="6" t="str">
        <f>Martius!B29</f>
        <v>Saturday</v>
      </c>
      <c r="C5" s="102"/>
      <c r="D5" s="25" t="s">
        <v>67</v>
      </c>
      <c r="E5" s="8" t="s">
        <v>21</v>
      </c>
      <c r="F5" s="6" t="s">
        <v>94</v>
      </c>
      <c r="G5" s="143" t="s">
        <v>279</v>
      </c>
      <c r="H5" s="9">
        <f t="shared" si="0"/>
        <v>12.058357592823807</v>
      </c>
      <c r="I5" s="9">
        <f t="shared" si="1"/>
        <v>6.177710222740229</v>
      </c>
      <c r="J5" s="9">
        <f t="shared" si="2"/>
        <v>0.2970628526566522</v>
      </c>
      <c r="K5" s="9">
        <f t="shared" si="3"/>
        <v>0.4277102227402296</v>
      </c>
      <c r="L5" s="9">
        <f t="shared" si="4"/>
        <v>0.5583575928238069</v>
      </c>
      <c r="M5" s="9">
        <f t="shared" si="5"/>
        <v>0.6890049629073842</v>
      </c>
      <c r="N5" s="9">
        <f t="shared" si="6"/>
        <v>0.8196523329909616</v>
      </c>
      <c r="O5" s="9">
        <f t="shared" si="7"/>
        <v>0.9390049629073842</v>
      </c>
      <c r="P5" s="9">
        <f>sunrise(Location!$B$4,Location!$B$5,Location!$B$6,4,A5,Location!$B$7,IF(Location!$B$8="No",0,1))</f>
        <v>0.2970628526566522</v>
      </c>
      <c r="Q5" s="9">
        <f>sunset(Location!$B$4,Location!$B$5,Location!$B$6,4,A5,Location!$B$7,IF(Location!$B$8="No",0,1))</f>
        <v>0.8196523329909616</v>
      </c>
      <c r="R5" s="9">
        <f t="shared" si="8"/>
        <v>0.5225894803343094</v>
      </c>
      <c r="S5" s="10">
        <f t="shared" si="9"/>
        <v>0.04354912336119245</v>
      </c>
      <c r="T5" s="9">
        <f t="shared" si="10"/>
        <v>23.47741051966569</v>
      </c>
      <c r="U5" s="10">
        <f t="shared" si="11"/>
        <v>0.039784209972140876</v>
      </c>
    </row>
    <row r="6" spans="1:21" ht="12.75">
      <c r="A6" s="5">
        <v>4</v>
      </c>
      <c r="B6" s="6" t="str">
        <f>Martius!B30</f>
        <v>Sunday</v>
      </c>
      <c r="C6" s="101"/>
      <c r="D6" s="25" t="s">
        <v>69</v>
      </c>
      <c r="E6" s="8" t="s">
        <v>24</v>
      </c>
      <c r="F6" s="6" t="s">
        <v>27</v>
      </c>
      <c r="G6" s="142" t="s">
        <v>121</v>
      </c>
      <c r="H6" s="9">
        <f t="shared" si="0"/>
        <v>12.058156170963809</v>
      </c>
      <c r="I6" s="9">
        <f t="shared" si="1"/>
        <v>6.1772032990340335</v>
      </c>
      <c r="J6" s="9">
        <f t="shared" si="2"/>
        <v>0.2962504271042579</v>
      </c>
      <c r="K6" s="9">
        <f t="shared" si="3"/>
        <v>0.4272032990340331</v>
      </c>
      <c r="L6" s="9">
        <f t="shared" si="4"/>
        <v>0.5581561709638083</v>
      </c>
      <c r="M6" s="9">
        <f t="shared" si="5"/>
        <v>0.6891090428935835</v>
      </c>
      <c r="N6" s="9">
        <f t="shared" si="6"/>
        <v>0.8200619148233587</v>
      </c>
      <c r="O6" s="9">
        <f t="shared" si="7"/>
        <v>0.9391090428935835</v>
      </c>
      <c r="P6" s="9">
        <f>sunrise(Location!$B$4,Location!$B$5,Location!$B$6,4,A6,Location!$B$7,IF(Location!$B$8="No",0,1))</f>
        <v>0.2962504271042579</v>
      </c>
      <c r="Q6" s="9">
        <f>sunset(Location!$B$4,Location!$B$5,Location!$B$6,4,A6,Location!$B$7,IF(Location!$B$8="No",0,1))</f>
        <v>0.8200619148233587</v>
      </c>
      <c r="R6" s="9">
        <f t="shared" si="8"/>
        <v>0.5238114877191007</v>
      </c>
      <c r="S6" s="10">
        <f t="shared" si="9"/>
        <v>0.043650957309925055</v>
      </c>
      <c r="T6" s="9">
        <f t="shared" si="10"/>
        <v>23.4761885122809</v>
      </c>
      <c r="U6" s="10">
        <f t="shared" si="11"/>
        <v>0.039682376023408274</v>
      </c>
    </row>
    <row r="7" spans="1:21" ht="12.75">
      <c r="A7" s="5">
        <v>5</v>
      </c>
      <c r="B7" s="6" t="str">
        <f>Martius!B31</f>
        <v>Monday</v>
      </c>
      <c r="C7" s="101"/>
      <c r="D7" s="17"/>
      <c r="E7" s="8" t="s">
        <v>26</v>
      </c>
      <c r="F7" s="6" t="s">
        <v>30</v>
      </c>
      <c r="G7" s="144"/>
      <c r="H7" s="9">
        <f t="shared" si="0"/>
        <v>12.057956749907833</v>
      </c>
      <c r="I7" s="9">
        <f t="shared" si="1"/>
        <v>6.176699143509615</v>
      </c>
      <c r="J7" s="9">
        <f t="shared" si="2"/>
        <v>0.2954415371113976</v>
      </c>
      <c r="K7" s="9">
        <f t="shared" si="3"/>
        <v>0.4266991435096146</v>
      </c>
      <c r="L7" s="9">
        <f t="shared" si="4"/>
        <v>0.5579567499078315</v>
      </c>
      <c r="M7" s="9">
        <f t="shared" si="5"/>
        <v>0.6892143563060484</v>
      </c>
      <c r="N7" s="9">
        <f t="shared" si="6"/>
        <v>0.8204719627042655</v>
      </c>
      <c r="O7" s="9">
        <f t="shared" si="7"/>
        <v>0.9392143563060484</v>
      </c>
      <c r="P7" s="9">
        <f>sunrise(Location!$B$4,Location!$B$5,Location!$B$6,4,A7,Location!$B$7,IF(Location!$B$8="No",0,1))</f>
        <v>0.2954415371113976</v>
      </c>
      <c r="Q7" s="9">
        <f>sunset(Location!$B$4,Location!$B$5,Location!$B$6,4,A7,Location!$B$7,IF(Location!$B$8="No",0,1))</f>
        <v>0.8204719627042655</v>
      </c>
      <c r="R7" s="9">
        <f t="shared" si="8"/>
        <v>0.5250304255928679</v>
      </c>
      <c r="S7" s="10">
        <f t="shared" si="9"/>
        <v>0.04375253546607233</v>
      </c>
      <c r="T7" s="9">
        <f t="shared" si="10"/>
        <v>23.474969574407133</v>
      </c>
      <c r="U7" s="10">
        <f t="shared" si="11"/>
        <v>0.039580797867261</v>
      </c>
    </row>
    <row r="8" spans="1:21" ht="12.75">
      <c r="A8" s="5">
        <v>6</v>
      </c>
      <c r="B8" s="6" t="str">
        <f>Martius!B32</f>
        <v>Tuesday</v>
      </c>
      <c r="C8" s="59"/>
      <c r="D8" s="17" t="s">
        <v>72</v>
      </c>
      <c r="E8" s="8" t="s">
        <v>29</v>
      </c>
      <c r="F8" s="6" t="s">
        <v>95</v>
      </c>
      <c r="G8" s="144"/>
      <c r="H8" s="9">
        <f t="shared" si="0"/>
        <v>12.057759536595343</v>
      </c>
      <c r="I8" s="9">
        <f t="shared" si="1"/>
        <v>6.17619801516169</v>
      </c>
      <c r="J8" s="9">
        <f t="shared" si="2"/>
        <v>0.29463649372803635</v>
      </c>
      <c r="K8" s="9">
        <f t="shared" si="3"/>
        <v>0.42619801516168954</v>
      </c>
      <c r="L8" s="9">
        <f t="shared" si="4"/>
        <v>0.5577595365953427</v>
      </c>
      <c r="M8" s="9">
        <f t="shared" si="5"/>
        <v>0.6893210580289959</v>
      </c>
      <c r="N8" s="9">
        <f t="shared" si="6"/>
        <v>0.8208825794626492</v>
      </c>
      <c r="O8" s="9">
        <f t="shared" si="7"/>
        <v>0.939321058028996</v>
      </c>
      <c r="P8" s="9">
        <f>sunrise(Location!$B$4,Location!$B$5,Location!$B$6,4,A8,Location!$B$7,IF(Location!$B$8="No",0,1))</f>
        <v>0.29463649372803635</v>
      </c>
      <c r="Q8" s="9">
        <f>sunset(Location!$B$4,Location!$B$5,Location!$B$6,4,A8,Location!$B$7,IF(Location!$B$8="No",0,1))</f>
        <v>0.8208825794626492</v>
      </c>
      <c r="R8" s="9">
        <f t="shared" si="8"/>
        <v>0.5262460857346128</v>
      </c>
      <c r="S8" s="10">
        <f t="shared" si="9"/>
        <v>0.043853840477884404</v>
      </c>
      <c r="T8" s="9">
        <f t="shared" si="10"/>
        <v>23.473753914265387</v>
      </c>
      <c r="U8" s="10">
        <f t="shared" si="11"/>
        <v>0.039479492855448925</v>
      </c>
    </row>
    <row r="9" spans="1:21" ht="12.75">
      <c r="A9" s="5">
        <v>7</v>
      </c>
      <c r="B9" s="6" t="str">
        <f>Martius!B33</f>
        <v>Wednesday</v>
      </c>
      <c r="C9" s="59"/>
      <c r="D9" s="17" t="s">
        <v>75</v>
      </c>
      <c r="E9" s="8" t="s">
        <v>32</v>
      </c>
      <c r="F9" s="6" t="s">
        <v>96</v>
      </c>
      <c r="G9" s="144"/>
      <c r="H9" s="9">
        <f t="shared" si="0"/>
        <v>12.057564735197461</v>
      </c>
      <c r="I9" s="9">
        <f t="shared" si="1"/>
        <v>6.175700171265572</v>
      </c>
      <c r="J9" s="9">
        <f t="shared" si="2"/>
        <v>0.2938356073336828</v>
      </c>
      <c r="K9" s="9">
        <f t="shared" si="3"/>
        <v>0.42570017126557125</v>
      </c>
      <c r="L9" s="9">
        <f t="shared" si="4"/>
        <v>0.5575647351974597</v>
      </c>
      <c r="M9" s="9">
        <f t="shared" si="5"/>
        <v>0.6894292991293482</v>
      </c>
      <c r="N9" s="9">
        <f t="shared" si="6"/>
        <v>0.8212938630612369</v>
      </c>
      <c r="O9" s="9">
        <f t="shared" si="7"/>
        <v>0.9394292991293484</v>
      </c>
      <c r="P9" s="9">
        <f>sunrise(Location!$B$4,Location!$B$5,Location!$B$6,4,A9,Location!$B$7,IF(Location!$B$8="No",0,1))</f>
        <v>0.2938356073336828</v>
      </c>
      <c r="Q9" s="9">
        <f>sunset(Location!$B$4,Location!$B$5,Location!$B$6,4,A9,Location!$B$7,IF(Location!$B$8="No",0,1))</f>
        <v>0.8212938630612369</v>
      </c>
      <c r="R9" s="9">
        <f t="shared" si="8"/>
        <v>0.527458255727554</v>
      </c>
      <c r="S9" s="10">
        <f t="shared" si="9"/>
        <v>0.043954854643962836</v>
      </c>
      <c r="T9" s="9">
        <f t="shared" si="10"/>
        <v>23.472541744272448</v>
      </c>
      <c r="U9" s="10">
        <f t="shared" si="11"/>
        <v>0.03937847868937049</v>
      </c>
    </row>
    <row r="10" spans="1:21" ht="12.75">
      <c r="A10" s="5">
        <v>8</v>
      </c>
      <c r="B10" s="6" t="str">
        <f aca="true" t="shared" si="12" ref="B10:B16">B3</f>
        <v>Thursday</v>
      </c>
      <c r="C10" s="59"/>
      <c r="D10" s="17"/>
      <c r="E10" s="8" t="s">
        <v>36</v>
      </c>
      <c r="F10" s="6" t="s">
        <v>97</v>
      </c>
      <c r="G10" s="144"/>
      <c r="H10" s="9">
        <f t="shared" si="0"/>
        <v>12.057372546990656</v>
      </c>
      <c r="I10" s="9">
        <f t="shared" si="1"/>
        <v>6.175205867314779</v>
      </c>
      <c r="J10" s="9">
        <f t="shared" si="2"/>
        <v>0.29303918763890247</v>
      </c>
      <c r="K10" s="9">
        <f t="shared" si="3"/>
        <v>0.42520586731477933</v>
      </c>
      <c r="L10" s="9">
        <f t="shared" si="4"/>
        <v>0.5573725469906562</v>
      </c>
      <c r="M10" s="9">
        <f t="shared" si="5"/>
        <v>0.689539226666533</v>
      </c>
      <c r="N10" s="9">
        <f t="shared" si="6"/>
        <v>0.8217059063424099</v>
      </c>
      <c r="O10" s="9">
        <f t="shared" si="7"/>
        <v>0.939539226666533</v>
      </c>
      <c r="P10" s="9">
        <f>sunrise(Location!$B$4,Location!$B$5,Location!$B$6,4,A10,Location!$B$7,IF(Location!$B$8="No",0,1))</f>
        <v>0.29303918763890247</v>
      </c>
      <c r="Q10" s="9">
        <f>sunset(Location!$B$4,Location!$B$5,Location!$B$6,4,A10,Location!$B$7,IF(Location!$B$8="No",0,1))</f>
        <v>0.8217059063424099</v>
      </c>
      <c r="R10" s="9">
        <f t="shared" si="8"/>
        <v>0.5286667187035075</v>
      </c>
      <c r="S10" s="10">
        <f t="shared" si="9"/>
        <v>0.04405555989195895</v>
      </c>
      <c r="T10" s="9">
        <f t="shared" si="10"/>
        <v>23.47133328129649</v>
      </c>
      <c r="U10" s="10">
        <f t="shared" si="11"/>
        <v>0.039277773441374376</v>
      </c>
    </row>
    <row r="11" spans="1:21" ht="12.75">
      <c r="A11" s="5">
        <v>9</v>
      </c>
      <c r="B11" s="6" t="str">
        <f t="shared" si="12"/>
        <v>Friday</v>
      </c>
      <c r="C11" s="59"/>
      <c r="D11" s="17" t="s">
        <v>20</v>
      </c>
      <c r="E11" s="8" t="s">
        <v>17</v>
      </c>
      <c r="F11" s="6" t="s">
        <v>98</v>
      </c>
      <c r="G11" s="145"/>
      <c r="H11" s="9">
        <f t="shared" si="0"/>
        <v>12.057183170224626</v>
      </c>
      <c r="I11" s="9">
        <f t="shared" si="1"/>
        <v>6.174715356951294</v>
      </c>
      <c r="J11" s="9">
        <f t="shared" si="2"/>
        <v>0.2922475436779635</v>
      </c>
      <c r="K11" s="9">
        <f t="shared" si="3"/>
        <v>0.42471535695129414</v>
      </c>
      <c r="L11" s="9">
        <f t="shared" si="4"/>
        <v>0.5571831702246248</v>
      </c>
      <c r="M11" s="9">
        <f t="shared" si="5"/>
        <v>0.6896509834979556</v>
      </c>
      <c r="N11" s="9">
        <f t="shared" si="6"/>
        <v>0.8221187967712863</v>
      </c>
      <c r="O11" s="9">
        <f t="shared" si="7"/>
        <v>0.9396509834979556</v>
      </c>
      <c r="P11" s="9">
        <f>sunrise(Location!$B$4,Location!$B$5,Location!$B$6,4,A11,Location!$B$7,IF(Location!$B$8="No",0,1))</f>
        <v>0.2922475436779635</v>
      </c>
      <c r="Q11" s="9">
        <f>sunset(Location!$B$4,Location!$B$5,Location!$B$6,4,A11,Location!$B$7,IF(Location!$B$8="No",0,1))</f>
        <v>0.8221187967712863</v>
      </c>
      <c r="R11" s="9">
        <f t="shared" si="8"/>
        <v>0.5298712530933227</v>
      </c>
      <c r="S11" s="10">
        <f t="shared" si="9"/>
        <v>0.044155937757776896</v>
      </c>
      <c r="T11" s="9">
        <f t="shared" si="10"/>
        <v>23.470128746906678</v>
      </c>
      <c r="U11" s="10">
        <f t="shared" si="11"/>
        <v>0.03917739557555643</v>
      </c>
    </row>
    <row r="12" spans="1:21" ht="12.75">
      <c r="A12" s="5">
        <v>10</v>
      </c>
      <c r="B12" s="6" t="str">
        <f t="shared" si="12"/>
        <v>Saturday</v>
      </c>
      <c r="C12" s="59"/>
      <c r="D12" s="17"/>
      <c r="E12" s="8" t="s">
        <v>21</v>
      </c>
      <c r="F12" s="6" t="s">
        <v>99</v>
      </c>
      <c r="G12" s="144"/>
      <c r="H12" s="9">
        <f t="shared" si="0"/>
        <v>12.056996799986033</v>
      </c>
      <c r="I12" s="9">
        <f t="shared" si="1"/>
        <v>6.174228891889247</v>
      </c>
      <c r="J12" s="9">
        <f t="shared" si="2"/>
        <v>0.2914609837924608</v>
      </c>
      <c r="K12" s="9">
        <f t="shared" si="3"/>
        <v>0.42422889188924706</v>
      </c>
      <c r="L12" s="9">
        <f t="shared" si="4"/>
        <v>0.5569967999860332</v>
      </c>
      <c r="M12" s="9">
        <f t="shared" si="5"/>
        <v>0.6897647080828195</v>
      </c>
      <c r="N12" s="9">
        <f t="shared" si="6"/>
        <v>0.8225326161796058</v>
      </c>
      <c r="O12" s="9">
        <f t="shared" si="7"/>
        <v>0.9397647080828195</v>
      </c>
      <c r="P12" s="9">
        <f>sunrise(Location!$B$4,Location!$B$5,Location!$B$6,4,A12,Location!$B$7,IF(Location!$B$8="No",0,1))</f>
        <v>0.2914609837924608</v>
      </c>
      <c r="Q12" s="9">
        <f>sunset(Location!$B$4,Location!$B$5,Location!$B$6,4,A12,Location!$B$7,IF(Location!$B$8="No",0,1))</f>
        <v>0.8225326161796058</v>
      </c>
      <c r="R12" s="9">
        <f t="shared" si="8"/>
        <v>0.5310716323871449</v>
      </c>
      <c r="S12" s="10">
        <f t="shared" si="9"/>
        <v>0.044255969365595414</v>
      </c>
      <c r="T12" s="9">
        <f t="shared" si="10"/>
        <v>23.468928367612854</v>
      </c>
      <c r="U12" s="10">
        <f t="shared" si="11"/>
        <v>0.039077363967737914</v>
      </c>
    </row>
    <row r="13" spans="1:21" ht="12.75">
      <c r="A13" s="5">
        <v>11</v>
      </c>
      <c r="B13" s="6" t="str">
        <f t="shared" si="12"/>
        <v>Sunday</v>
      </c>
      <c r="C13" s="59"/>
      <c r="D13" s="17" t="s">
        <v>23</v>
      </c>
      <c r="E13" s="8" t="s">
        <v>24</v>
      </c>
      <c r="F13" s="6" t="s">
        <v>101</v>
      </c>
      <c r="G13" s="146" t="s">
        <v>280</v>
      </c>
      <c r="H13" s="9">
        <f t="shared" si="0"/>
        <v>12.056813628058253</v>
      </c>
      <c r="I13" s="9">
        <f t="shared" si="1"/>
        <v>6.17374672183329</v>
      </c>
      <c r="J13" s="9">
        <f t="shared" si="2"/>
        <v>0.29067981560832773</v>
      </c>
      <c r="K13" s="9">
        <f t="shared" si="3"/>
        <v>0.4237467218332901</v>
      </c>
      <c r="L13" s="9">
        <f t="shared" si="4"/>
        <v>0.5568136280582525</v>
      </c>
      <c r="M13" s="9">
        <f t="shared" si="5"/>
        <v>0.6898805342832149</v>
      </c>
      <c r="N13" s="9">
        <f t="shared" si="6"/>
        <v>0.8229474405081774</v>
      </c>
      <c r="O13" s="9">
        <f t="shared" si="7"/>
        <v>0.9398805342832149</v>
      </c>
      <c r="P13" s="9">
        <f>sunrise(Location!$B$4,Location!$B$5,Location!$B$6,4,A13,Location!$B$7,IF(Location!$B$8="No",0,1))</f>
        <v>0.29067981560832773</v>
      </c>
      <c r="Q13" s="9">
        <f>sunset(Location!$B$4,Location!$B$5,Location!$B$6,4,A13,Location!$B$7,IF(Location!$B$8="No",0,1))</f>
        <v>0.8229474405081774</v>
      </c>
      <c r="R13" s="9">
        <f t="shared" si="8"/>
        <v>0.5322676248998497</v>
      </c>
      <c r="S13" s="10">
        <f t="shared" si="9"/>
        <v>0.044355635408320805</v>
      </c>
      <c r="T13" s="9">
        <f t="shared" si="10"/>
        <v>23.46773237510015</v>
      </c>
      <c r="U13" s="10">
        <f t="shared" si="11"/>
        <v>0.038977697925012524</v>
      </c>
    </row>
    <row r="14" spans="1:21" ht="12.75">
      <c r="A14" s="5">
        <v>12</v>
      </c>
      <c r="B14" s="6" t="str">
        <f t="shared" si="12"/>
        <v>Monday</v>
      </c>
      <c r="C14" s="59"/>
      <c r="D14" s="17" t="s">
        <v>28</v>
      </c>
      <c r="E14" s="8" t="s">
        <v>26</v>
      </c>
      <c r="F14" s="6" t="s">
        <v>46</v>
      </c>
      <c r="G14" s="144"/>
      <c r="H14" s="9">
        <f t="shared" si="0"/>
        <v>12.05663384277507</v>
      </c>
      <c r="I14" s="9">
        <f t="shared" si="1"/>
        <v>6.173269094387839</v>
      </c>
      <c r="J14" s="9">
        <f t="shared" si="2"/>
        <v>0.2899043460006076</v>
      </c>
      <c r="K14" s="9">
        <f t="shared" si="3"/>
        <v>0.4232690943878398</v>
      </c>
      <c r="L14" s="9">
        <f t="shared" si="4"/>
        <v>0.5566338427750719</v>
      </c>
      <c r="M14" s="9">
        <f t="shared" si="5"/>
        <v>0.6899985911623039</v>
      </c>
      <c r="N14" s="9">
        <f t="shared" si="6"/>
        <v>0.823363339549536</v>
      </c>
      <c r="O14" s="9">
        <f t="shared" si="7"/>
        <v>0.9399985911623039</v>
      </c>
      <c r="P14" s="9">
        <f>sunrise(Location!$B$4,Location!$B$5,Location!$B$6,4,A14,Location!$B$7,IF(Location!$B$8="No",0,1))</f>
        <v>0.2899043460006076</v>
      </c>
      <c r="Q14" s="9">
        <f>sunset(Location!$B$4,Location!$B$5,Location!$B$6,4,A14,Location!$B$7,IF(Location!$B$8="No",0,1))</f>
        <v>0.823363339549536</v>
      </c>
      <c r="R14" s="9">
        <f t="shared" si="8"/>
        <v>0.5334589935489285</v>
      </c>
      <c r="S14" s="10">
        <f t="shared" si="9"/>
        <v>0.04445491612907737</v>
      </c>
      <c r="T14" s="9">
        <f t="shared" si="10"/>
        <v>23.46654100645107</v>
      </c>
      <c r="U14" s="10">
        <f t="shared" si="11"/>
        <v>0.03887841720425596</v>
      </c>
    </row>
    <row r="15" spans="1:21" ht="12.75">
      <c r="A15" s="5">
        <v>13</v>
      </c>
      <c r="B15" s="6" t="str">
        <f t="shared" si="12"/>
        <v>Tuesday</v>
      </c>
      <c r="C15" s="59"/>
      <c r="D15" s="17"/>
      <c r="E15" s="8" t="s">
        <v>29</v>
      </c>
      <c r="F15" s="6" t="s">
        <v>47</v>
      </c>
      <c r="G15" s="144"/>
      <c r="H15" s="9">
        <f t="shared" si="0"/>
        <v>12.056457628869872</v>
      </c>
      <c r="I15" s="9">
        <f t="shared" si="1"/>
        <v>6.1727962549602715</v>
      </c>
      <c r="J15" s="9">
        <f t="shared" si="2"/>
        <v>0.2891348810506713</v>
      </c>
      <c r="K15" s="9">
        <f t="shared" si="3"/>
        <v>0.4227962549602715</v>
      </c>
      <c r="L15" s="9">
        <f t="shared" si="4"/>
        <v>0.5564576288698717</v>
      </c>
      <c r="M15" s="9">
        <f t="shared" si="5"/>
        <v>0.6901190027794719</v>
      </c>
      <c r="N15" s="9">
        <f t="shared" si="6"/>
        <v>0.823780376689072</v>
      </c>
      <c r="O15" s="9">
        <f t="shared" si="7"/>
        <v>0.9401190027794718</v>
      </c>
      <c r="P15" s="9">
        <f>sunrise(Location!$B$4,Location!$B$5,Location!$B$6,4,A15,Location!$B$7,IF(Location!$B$8="No",0,1))</f>
        <v>0.2891348810506713</v>
      </c>
      <c r="Q15" s="9">
        <f>sunset(Location!$B$4,Location!$B$5,Location!$B$6,4,A15,Location!$B$7,IF(Location!$B$8="No",0,1))</f>
        <v>0.823780376689072</v>
      </c>
      <c r="R15" s="9">
        <f t="shared" si="8"/>
        <v>0.5346454956384007</v>
      </c>
      <c r="S15" s="10">
        <f t="shared" si="9"/>
        <v>0.04455379130320006</v>
      </c>
      <c r="T15" s="9">
        <f t="shared" si="10"/>
        <v>23.4653545043616</v>
      </c>
      <c r="U15" s="10">
        <f t="shared" si="11"/>
        <v>0.03877954203013327</v>
      </c>
    </row>
    <row r="16" spans="1:21" ht="12.75">
      <c r="A16" s="5">
        <v>14</v>
      </c>
      <c r="B16" s="6" t="str">
        <f t="shared" si="12"/>
        <v>Wednesday</v>
      </c>
      <c r="C16" s="59"/>
      <c r="D16" s="17" t="s">
        <v>35</v>
      </c>
      <c r="E16" s="8" t="s">
        <v>32</v>
      </c>
      <c r="F16" s="6" t="s">
        <v>122</v>
      </c>
      <c r="G16" s="144"/>
      <c r="H16" s="9">
        <f t="shared" si="0"/>
        <v>12.056285167319889</v>
      </c>
      <c r="I16" s="9">
        <f t="shared" si="1"/>
        <v>6.172328446656027</v>
      </c>
      <c r="J16" s="9">
        <f t="shared" si="2"/>
        <v>0.28837172599216576</v>
      </c>
      <c r="K16" s="9">
        <f t="shared" si="3"/>
        <v>0.4223284466560266</v>
      </c>
      <c r="L16" s="9">
        <f t="shared" si="4"/>
        <v>0.5562851673198874</v>
      </c>
      <c r="M16" s="9">
        <f t="shared" si="5"/>
        <v>0.6902418879837482</v>
      </c>
      <c r="N16" s="9">
        <f t="shared" si="6"/>
        <v>0.824198608647609</v>
      </c>
      <c r="O16" s="9">
        <f t="shared" si="7"/>
        <v>0.9402418879837482</v>
      </c>
      <c r="P16" s="9">
        <f>sunrise(Location!$B$4,Location!$B$5,Location!$B$6,4,A16,Location!$B$7,IF(Location!$B$8="No",0,1))</f>
        <v>0.28837172599216576</v>
      </c>
      <c r="Q16" s="9">
        <f>sunset(Location!$B$4,Location!$B$5,Location!$B$6,4,A16,Location!$B$7,IF(Location!$B$8="No",0,1))</f>
        <v>0.824198608647609</v>
      </c>
      <c r="R16" s="9">
        <f t="shared" si="8"/>
        <v>0.5358268826554432</v>
      </c>
      <c r="S16" s="10">
        <f t="shared" si="9"/>
        <v>0.044652240221286936</v>
      </c>
      <c r="T16" s="9">
        <f t="shared" si="10"/>
        <v>23.464173117344558</v>
      </c>
      <c r="U16" s="10">
        <f t="shared" si="11"/>
        <v>0.03868109311204639</v>
      </c>
    </row>
    <row r="17" spans="1:21" ht="12.75">
      <c r="A17" s="5">
        <v>15</v>
      </c>
      <c r="B17" s="6" t="str">
        <f aca="true" t="shared" si="13" ref="B17:B23">B3</f>
        <v>Thursday</v>
      </c>
      <c r="C17" s="59"/>
      <c r="D17" s="17" t="s">
        <v>38</v>
      </c>
      <c r="E17" s="8" t="s">
        <v>36</v>
      </c>
      <c r="F17" s="6" t="s">
        <v>102</v>
      </c>
      <c r="G17" s="144"/>
      <c r="H17" s="9">
        <f t="shared" si="0"/>
        <v>12.056116635184873</v>
      </c>
      <c r="I17" s="9">
        <f t="shared" si="1"/>
        <v>6.171865910166176</v>
      </c>
      <c r="J17" s="9">
        <f t="shared" si="2"/>
        <v>0.28761518514747864</v>
      </c>
      <c r="K17" s="9">
        <f t="shared" si="3"/>
        <v>0.42186591016617525</v>
      </c>
      <c r="L17" s="9">
        <f t="shared" si="4"/>
        <v>0.5561166351848719</v>
      </c>
      <c r="M17" s="9">
        <f t="shared" si="5"/>
        <v>0.6903673602035685</v>
      </c>
      <c r="N17" s="9">
        <f t="shared" si="6"/>
        <v>0.8246180852222651</v>
      </c>
      <c r="O17" s="9">
        <f t="shared" si="7"/>
        <v>0.9403673602035685</v>
      </c>
      <c r="P17" s="9">
        <f>sunrise(Location!$B$4,Location!$B$5,Location!$B$6,4,A17,Location!$B$7,IF(Location!$B$8="No",0,1))</f>
        <v>0.28761518514747864</v>
      </c>
      <c r="Q17" s="9">
        <f>sunset(Location!$B$4,Location!$B$5,Location!$B$6,4,A17,Location!$B$7,IF(Location!$B$8="No",0,1))</f>
        <v>0.8246180852222651</v>
      </c>
      <c r="R17" s="9">
        <f t="shared" si="8"/>
        <v>0.5370029000747865</v>
      </c>
      <c r="S17" s="10">
        <f t="shared" si="9"/>
        <v>0.04475024167289887</v>
      </c>
      <c r="T17" s="9">
        <f t="shared" si="10"/>
        <v>23.462997099925214</v>
      </c>
      <c r="U17" s="10">
        <f t="shared" si="11"/>
        <v>0.03858309166043446</v>
      </c>
    </row>
    <row r="18" spans="1:21" ht="12.75">
      <c r="A18" s="5">
        <v>16</v>
      </c>
      <c r="B18" s="6" t="str">
        <f t="shared" si="13"/>
        <v>Friday</v>
      </c>
      <c r="C18" s="59"/>
      <c r="D18" s="17"/>
      <c r="E18" s="8" t="s">
        <v>17</v>
      </c>
      <c r="F18" s="6" t="s">
        <v>103</v>
      </c>
      <c r="G18" s="144"/>
      <c r="H18" s="9">
        <f t="shared" si="0"/>
        <v>12.055952205440873</v>
      </c>
      <c r="I18" s="9">
        <f t="shared" si="1"/>
        <v>6.171408883646552</v>
      </c>
      <c r="J18" s="9">
        <f t="shared" si="2"/>
        <v>0.28686556185223117</v>
      </c>
      <c r="K18" s="9">
        <f t="shared" si="3"/>
        <v>0.42140888364655193</v>
      </c>
      <c r="L18" s="9">
        <f t="shared" si="4"/>
        <v>0.5559522054408728</v>
      </c>
      <c r="M18" s="9">
        <f t="shared" si="5"/>
        <v>0.6904955272351935</v>
      </c>
      <c r="N18" s="9">
        <f t="shared" si="6"/>
        <v>0.8250388490295142</v>
      </c>
      <c r="O18" s="9">
        <f t="shared" si="7"/>
        <v>0.9404955272351934</v>
      </c>
      <c r="P18" s="9">
        <f>sunrise(Location!$B$4,Location!$B$5,Location!$B$6,4,A18,Location!$B$7,IF(Location!$B$8="No",0,1))</f>
        <v>0.28686556185223117</v>
      </c>
      <c r="Q18" s="9">
        <f>sunset(Location!$B$4,Location!$B$5,Location!$B$6,4,A18,Location!$B$7,IF(Location!$B$8="No",0,1))</f>
        <v>0.8250388490295142</v>
      </c>
      <c r="R18" s="9">
        <f t="shared" si="8"/>
        <v>0.5381732871772831</v>
      </c>
      <c r="S18" s="10">
        <f t="shared" si="9"/>
        <v>0.04484777393144026</v>
      </c>
      <c r="T18" s="9">
        <f t="shared" si="10"/>
        <v>23.461826712822717</v>
      </c>
      <c r="U18" s="10">
        <f t="shared" si="11"/>
        <v>0.03848555940189307</v>
      </c>
    </row>
    <row r="19" spans="1:21" ht="12.75">
      <c r="A19" s="5">
        <v>17</v>
      </c>
      <c r="B19" s="6" t="str">
        <f t="shared" si="13"/>
        <v>Saturday</v>
      </c>
      <c r="C19" s="59"/>
      <c r="D19" s="17" t="s">
        <v>40</v>
      </c>
      <c r="E19" s="8" t="s">
        <v>21</v>
      </c>
      <c r="F19" s="6" t="s">
        <v>105</v>
      </c>
      <c r="G19" s="144"/>
      <c r="H19" s="9">
        <f t="shared" si="0"/>
        <v>12.055792046809529</v>
      </c>
      <c r="I19" s="9">
        <f t="shared" si="1"/>
        <v>6.170957602589406</v>
      </c>
      <c r="J19" s="9">
        <f t="shared" si="2"/>
        <v>0.2861231583692846</v>
      </c>
      <c r="K19" s="9">
        <f t="shared" si="3"/>
        <v>0.420957602589407</v>
      </c>
      <c r="L19" s="9">
        <f t="shared" si="4"/>
        <v>0.5557920468095294</v>
      </c>
      <c r="M19" s="9">
        <f t="shared" si="5"/>
        <v>0.6906264910296518</v>
      </c>
      <c r="N19" s="9">
        <f t="shared" si="6"/>
        <v>0.8254609352497742</v>
      </c>
      <c r="O19" s="9">
        <f t="shared" si="7"/>
        <v>0.9406264910296518</v>
      </c>
      <c r="P19" s="9">
        <f>sunrise(Location!$B$4,Location!$B$5,Location!$B$6,4,A19,Location!$B$7,IF(Location!$B$8="No",0,1))</f>
        <v>0.2861231583692846</v>
      </c>
      <c r="Q19" s="9">
        <f>sunset(Location!$B$4,Location!$B$5,Location!$B$6,4,A19,Location!$B$7,IF(Location!$B$8="No",0,1))</f>
        <v>0.8254609352497742</v>
      </c>
      <c r="R19" s="9">
        <f t="shared" si="8"/>
        <v>0.5393377768804896</v>
      </c>
      <c r="S19" s="10">
        <f t="shared" si="9"/>
        <v>0.0449448147400408</v>
      </c>
      <c r="T19" s="9">
        <f t="shared" si="10"/>
        <v>23.46066222311951</v>
      </c>
      <c r="U19" s="10">
        <f t="shared" si="11"/>
        <v>0.03838851859329253</v>
      </c>
    </row>
    <row r="20" spans="1:21" ht="12.75">
      <c r="A20" s="5">
        <v>18</v>
      </c>
      <c r="B20" s="6" t="str">
        <f t="shared" si="13"/>
        <v>Sunday</v>
      </c>
      <c r="C20" s="59"/>
      <c r="D20" s="17" t="s">
        <v>42</v>
      </c>
      <c r="E20" s="8" t="s">
        <v>24</v>
      </c>
      <c r="F20" s="6" t="s">
        <v>107</v>
      </c>
      <c r="G20" s="146" t="s">
        <v>281</v>
      </c>
      <c r="H20" s="9">
        <f t="shared" si="0"/>
        <v>12.055636323580325</v>
      </c>
      <c r="I20" s="9">
        <f t="shared" si="1"/>
        <v>6.170512299685117</v>
      </c>
      <c r="J20" s="9">
        <f t="shared" si="2"/>
        <v>0.2853882757899099</v>
      </c>
      <c r="K20" s="9">
        <f t="shared" si="3"/>
        <v>0.4205122996851178</v>
      </c>
      <c r="L20" s="9">
        <f t="shared" si="4"/>
        <v>0.5556363235803257</v>
      </c>
      <c r="M20" s="9">
        <f t="shared" si="5"/>
        <v>0.6907603474755335</v>
      </c>
      <c r="N20" s="9">
        <f t="shared" si="6"/>
        <v>0.8258843713707413</v>
      </c>
      <c r="O20" s="9">
        <f t="shared" si="7"/>
        <v>0.9407603474755335</v>
      </c>
      <c r="P20" s="9">
        <f>sunrise(Location!$B$4,Location!$B$5,Location!$B$6,4,A20,Location!$B$7,IF(Location!$B$8="No",0,1))</f>
        <v>0.2853882757899099</v>
      </c>
      <c r="Q20" s="9">
        <f>sunset(Location!$B$4,Location!$B$5,Location!$B$6,4,A20,Location!$B$7,IF(Location!$B$8="No",0,1))</f>
        <v>0.8258843713707413</v>
      </c>
      <c r="R20" s="9">
        <f t="shared" si="8"/>
        <v>0.5404960955808314</v>
      </c>
      <c r="S20" s="10">
        <f t="shared" si="9"/>
        <v>0.04504134129840262</v>
      </c>
      <c r="T20" s="9">
        <f t="shared" si="10"/>
        <v>23.45950390441917</v>
      </c>
      <c r="U20" s="10">
        <f t="shared" si="11"/>
        <v>0.03829199203493071</v>
      </c>
    </row>
    <row r="21" spans="1:21" ht="12.75">
      <c r="A21" s="5">
        <v>19</v>
      </c>
      <c r="B21" s="6" t="str">
        <f t="shared" si="13"/>
        <v>Monday</v>
      </c>
      <c r="C21" s="59"/>
      <c r="D21" s="17"/>
      <c r="E21" s="8" t="s">
        <v>26</v>
      </c>
      <c r="F21" s="6" t="s">
        <v>108</v>
      </c>
      <c r="G21" s="46" t="s">
        <v>124</v>
      </c>
      <c r="H21" s="9">
        <f t="shared" si="0"/>
        <v>12.055485195431512</v>
      </c>
      <c r="I21" s="9">
        <f t="shared" si="1"/>
        <v>6.170073204678782</v>
      </c>
      <c r="J21" s="9">
        <f t="shared" si="2"/>
        <v>0.28466121392605176</v>
      </c>
      <c r="K21" s="9">
        <f t="shared" si="3"/>
        <v>0.4200732046787825</v>
      </c>
      <c r="L21" s="9">
        <f t="shared" si="4"/>
        <v>0.5554851954315132</v>
      </c>
      <c r="M21" s="9">
        <f t="shared" si="5"/>
        <v>0.6908971861842439</v>
      </c>
      <c r="N21" s="9">
        <f t="shared" si="6"/>
        <v>0.8263091769369745</v>
      </c>
      <c r="O21" s="9">
        <f t="shared" si="7"/>
        <v>0.9408971861842438</v>
      </c>
      <c r="P21" s="9">
        <f>sunrise(Location!$B$4,Location!$B$5,Location!$B$6,4,A21,Location!$B$7,IF(Location!$B$8="No",0,1))</f>
        <v>0.28466121392605176</v>
      </c>
      <c r="Q21" s="9">
        <f>sunset(Location!$B$4,Location!$B$5,Location!$B$6,4,A21,Location!$B$7,IF(Location!$B$8="No",0,1))</f>
        <v>0.8263091769369745</v>
      </c>
      <c r="R21" s="9">
        <f t="shared" si="8"/>
        <v>0.5416479630109228</v>
      </c>
      <c r="S21" s="10">
        <f t="shared" si="9"/>
        <v>0.04513733025091023</v>
      </c>
      <c r="T21" s="9">
        <f t="shared" si="10"/>
        <v>23.458352036989076</v>
      </c>
      <c r="U21" s="10">
        <f t="shared" si="11"/>
        <v>0.038196003082423095</v>
      </c>
    </row>
    <row r="22" spans="1:21" ht="12.75">
      <c r="A22" s="5">
        <v>20</v>
      </c>
      <c r="B22" s="6" t="str">
        <f t="shared" si="13"/>
        <v>Tuesday</v>
      </c>
      <c r="C22" s="59"/>
      <c r="D22" s="17" t="s">
        <v>45</v>
      </c>
      <c r="E22" s="8" t="s">
        <v>29</v>
      </c>
      <c r="F22" s="6" t="s">
        <v>110</v>
      </c>
      <c r="G22" s="144"/>
      <c r="H22" s="9">
        <f t="shared" si="0"/>
        <v>12.055338817243898</v>
      </c>
      <c r="I22" s="9">
        <f t="shared" si="1"/>
        <v>6.169640544215766</v>
      </c>
      <c r="J22" s="9">
        <f t="shared" si="2"/>
        <v>0.28394227118763404</v>
      </c>
      <c r="K22" s="9">
        <f t="shared" si="3"/>
        <v>0.4196405442157656</v>
      </c>
      <c r="L22" s="9">
        <f t="shared" si="4"/>
        <v>0.5553388172438971</v>
      </c>
      <c r="M22" s="9">
        <f t="shared" si="5"/>
        <v>0.6910370902720286</v>
      </c>
      <c r="N22" s="9">
        <f t="shared" si="6"/>
        <v>0.8267353633001602</v>
      </c>
      <c r="O22" s="9">
        <f t="shared" si="7"/>
        <v>0.9410370902720286</v>
      </c>
      <c r="P22" s="9">
        <f>sunrise(Location!$B$4,Location!$B$5,Location!$B$6,4,A22,Location!$B$7,IF(Location!$B$8="No",0,1))</f>
        <v>0.28394227118763404</v>
      </c>
      <c r="Q22" s="9">
        <f>sunset(Location!$B$4,Location!$B$5,Location!$B$6,4,A22,Location!$B$7,IF(Location!$B$8="No",0,1))</f>
        <v>0.8267353633001602</v>
      </c>
      <c r="R22" s="9">
        <f t="shared" si="8"/>
        <v>0.5427930921125261</v>
      </c>
      <c r="S22" s="10">
        <f t="shared" si="9"/>
        <v>0.045232757676043844</v>
      </c>
      <c r="T22" s="9">
        <f t="shared" si="10"/>
        <v>23.457206907887475</v>
      </c>
      <c r="U22" s="10">
        <f t="shared" si="11"/>
        <v>0.038100575657289484</v>
      </c>
    </row>
    <row r="23" spans="1:21" ht="12.75">
      <c r="A23" s="5">
        <v>21</v>
      </c>
      <c r="B23" s="6" t="str">
        <f t="shared" si="13"/>
        <v>Wednesday</v>
      </c>
      <c r="C23" s="59"/>
      <c r="D23" s="17"/>
      <c r="E23" s="8" t="s">
        <v>32</v>
      </c>
      <c r="F23" s="6" t="s">
        <v>111</v>
      </c>
      <c r="G23" s="98" t="s">
        <v>125</v>
      </c>
      <c r="H23" s="9">
        <f t="shared" si="0"/>
        <v>12.055197338911961</v>
      </c>
      <c r="I23" s="9">
        <f t="shared" si="1"/>
        <v>6.169214541681452</v>
      </c>
      <c r="J23" s="9">
        <f t="shared" si="2"/>
        <v>0.283231744450942</v>
      </c>
      <c r="K23" s="9">
        <f t="shared" si="3"/>
        <v>0.41921454168145156</v>
      </c>
      <c r="L23" s="9">
        <f t="shared" si="4"/>
        <v>0.5551973389119611</v>
      </c>
      <c r="M23" s="9">
        <f t="shared" si="5"/>
        <v>0.6911801361424706</v>
      </c>
      <c r="N23" s="9">
        <f t="shared" si="6"/>
        <v>0.8271629333729802</v>
      </c>
      <c r="O23" s="9">
        <f t="shared" si="7"/>
        <v>0.9411801361424706</v>
      </c>
      <c r="P23" s="9">
        <f>sunrise(Location!$B$4,Location!$B$5,Location!$B$6,4,A23,Location!$B$7,IF(Location!$B$8="No",0,1))</f>
        <v>0.283231744450942</v>
      </c>
      <c r="Q23" s="9">
        <f>sunset(Location!$B$4,Location!$B$5,Location!$B$6,4,A23,Location!$B$7,IF(Location!$B$8="No",0,1))</f>
        <v>0.8271629333729802</v>
      </c>
      <c r="R23" s="9">
        <f t="shared" si="8"/>
        <v>0.5439311889220382</v>
      </c>
      <c r="S23" s="10">
        <f t="shared" si="9"/>
        <v>0.04532759907683651</v>
      </c>
      <c r="T23" s="9">
        <f t="shared" si="10"/>
        <v>23.456068811077962</v>
      </c>
      <c r="U23" s="10">
        <f t="shared" si="11"/>
        <v>0.038005734256496816</v>
      </c>
    </row>
    <row r="24" spans="1:21" ht="12.75">
      <c r="A24" s="5">
        <v>22</v>
      </c>
      <c r="B24" s="6" t="str">
        <f aca="true" t="shared" si="14" ref="B24:B30">B3</f>
        <v>Thursday</v>
      </c>
      <c r="C24" s="59"/>
      <c r="D24" s="17" t="s">
        <v>48</v>
      </c>
      <c r="E24" s="8" t="s">
        <v>36</v>
      </c>
      <c r="F24" s="6" t="s">
        <v>112</v>
      </c>
      <c r="G24" s="144"/>
      <c r="H24" s="9">
        <f t="shared" si="0"/>
        <v>12.055060905150352</v>
      </c>
      <c r="I24" s="9">
        <f t="shared" si="1"/>
        <v>6.1687954170311174</v>
      </c>
      <c r="J24" s="9">
        <f t="shared" si="2"/>
        <v>0.2825299289118834</v>
      </c>
      <c r="K24" s="9">
        <f t="shared" si="3"/>
        <v>0.41879541703111856</v>
      </c>
      <c r="L24" s="9">
        <f t="shared" si="4"/>
        <v>0.5550609051503537</v>
      </c>
      <c r="M24" s="9">
        <f t="shared" si="5"/>
        <v>0.6913263932695889</v>
      </c>
      <c r="N24" s="9">
        <f t="shared" si="6"/>
        <v>0.8275918813888241</v>
      </c>
      <c r="O24" s="9">
        <f t="shared" si="7"/>
        <v>0.9413263932695889</v>
      </c>
      <c r="P24" s="9">
        <f>sunrise(Location!$B$4,Location!$B$5,Location!$B$6,4,A24,Location!$B$7,IF(Location!$B$8="No",0,1))</f>
        <v>0.2825299289118834</v>
      </c>
      <c r="Q24" s="9">
        <f>sunset(Location!$B$4,Location!$B$5,Location!$B$6,4,A24,Location!$B$7,IF(Location!$B$8="No",0,1))</f>
        <v>0.8275918813888241</v>
      </c>
      <c r="R24" s="9">
        <f t="shared" si="8"/>
        <v>0.5450619524769407</v>
      </c>
      <c r="S24" s="10">
        <f t="shared" si="9"/>
        <v>0.04542182937307839</v>
      </c>
      <c r="T24" s="9">
        <f t="shared" si="10"/>
        <v>23.454938047523058</v>
      </c>
      <c r="U24" s="10">
        <f t="shared" si="11"/>
        <v>0.03791150396025494</v>
      </c>
    </row>
    <row r="25" spans="1:21" ht="12.75">
      <c r="A25" s="5">
        <v>23</v>
      </c>
      <c r="B25" s="6" t="str">
        <f t="shared" si="14"/>
        <v>Friday</v>
      </c>
      <c r="C25" s="59"/>
      <c r="D25" s="17" t="s">
        <v>50</v>
      </c>
      <c r="E25" s="8" t="s">
        <v>17</v>
      </c>
      <c r="F25" s="6" t="s">
        <v>113</v>
      </c>
      <c r="G25" s="46" t="s">
        <v>126</v>
      </c>
      <c r="H25" s="9">
        <f t="shared" si="0"/>
        <v>12.054929655297792</v>
      </c>
      <c r="I25" s="9">
        <f t="shared" si="1"/>
        <v>6.16838338661315</v>
      </c>
      <c r="J25" s="9">
        <f t="shared" si="2"/>
        <v>0.28183711792850785</v>
      </c>
      <c r="K25" s="9">
        <f t="shared" si="3"/>
        <v>0.4183833866131497</v>
      </c>
      <c r="L25" s="9">
        <f t="shared" si="4"/>
        <v>0.5549296552977916</v>
      </c>
      <c r="M25" s="9">
        <f t="shared" si="5"/>
        <v>0.6914759239824335</v>
      </c>
      <c r="N25" s="9">
        <f t="shared" si="6"/>
        <v>0.8280221926670753</v>
      </c>
      <c r="O25" s="9">
        <f t="shared" si="7"/>
        <v>0.9414759239824335</v>
      </c>
      <c r="P25" s="9">
        <f>sunrise(Location!$B$4,Location!$B$5,Location!$B$6,4,A25,Location!$B$7,IF(Location!$B$8="No",0,1))</f>
        <v>0.28183711792850785</v>
      </c>
      <c r="Q25" s="9">
        <f>sunset(Location!$B$4,Location!$B$5,Location!$B$6,4,A25,Location!$B$7,IF(Location!$B$8="No",0,1))</f>
        <v>0.8280221926670753</v>
      </c>
      <c r="R25" s="9">
        <f t="shared" si="8"/>
        <v>0.5461850747385675</v>
      </c>
      <c r="S25" s="10">
        <f t="shared" si="9"/>
        <v>0.04551542289488062</v>
      </c>
      <c r="T25" s="9">
        <f t="shared" si="10"/>
        <v>23.453814925261433</v>
      </c>
      <c r="U25" s="10">
        <f t="shared" si="11"/>
        <v>0.03781791043845271</v>
      </c>
    </row>
    <row r="26" spans="1:21" ht="12.75">
      <c r="A26" s="5">
        <v>24</v>
      </c>
      <c r="B26" s="6" t="str">
        <f t="shared" si="14"/>
        <v>Saturday</v>
      </c>
      <c r="C26" s="59"/>
      <c r="D26" s="17"/>
      <c r="E26" s="8" t="s">
        <v>21</v>
      </c>
      <c r="F26" s="6" t="s">
        <v>114</v>
      </c>
      <c r="G26" s="144"/>
      <c r="H26" s="9">
        <f t="shared" si="0"/>
        <v>12.054803723118159</v>
      </c>
      <c r="I26" s="9">
        <f t="shared" si="1"/>
        <v>6.1679786629855675</v>
      </c>
      <c r="J26" s="9">
        <f t="shared" si="2"/>
        <v>0.28115360285297586</v>
      </c>
      <c r="K26" s="9">
        <f t="shared" si="3"/>
        <v>0.4179786629855677</v>
      </c>
      <c r="L26" s="9">
        <f t="shared" si="4"/>
        <v>0.5548037231181595</v>
      </c>
      <c r="M26" s="9">
        <f t="shared" si="5"/>
        <v>0.6916287832507513</v>
      </c>
      <c r="N26" s="9">
        <f t="shared" si="6"/>
        <v>0.8284538433833432</v>
      </c>
      <c r="O26" s="9">
        <f t="shared" si="7"/>
        <v>0.9416287832507513</v>
      </c>
      <c r="P26" s="9">
        <f>sunrise(Location!$B$4,Location!$B$5,Location!$B$6,4,A26,Location!$B$7,IF(Location!$B$8="No",0,1))</f>
        <v>0.28115360285297586</v>
      </c>
      <c r="Q26" s="9">
        <f>sunset(Location!$B$4,Location!$B$5,Location!$B$6,4,A26,Location!$B$7,IF(Location!$B$8="No",0,1))</f>
        <v>0.8284538433833432</v>
      </c>
      <c r="R26" s="9">
        <f t="shared" si="8"/>
        <v>0.5473002405303673</v>
      </c>
      <c r="S26" s="10">
        <f t="shared" si="9"/>
        <v>0.04560835337753061</v>
      </c>
      <c r="T26" s="9">
        <f t="shared" si="10"/>
        <v>23.45269975946963</v>
      </c>
      <c r="U26" s="10">
        <f t="shared" si="11"/>
        <v>0.03772497995580272</v>
      </c>
    </row>
    <row r="27" spans="1:21" ht="12.75">
      <c r="A27" s="5">
        <v>25</v>
      </c>
      <c r="B27" s="6" t="str">
        <f t="shared" si="14"/>
        <v>Sunday</v>
      </c>
      <c r="C27" s="59"/>
      <c r="D27" s="17" t="s">
        <v>53</v>
      </c>
      <c r="E27" s="8" t="s">
        <v>24</v>
      </c>
      <c r="F27" s="6" t="s">
        <v>116</v>
      </c>
      <c r="G27" s="133" t="s">
        <v>283</v>
      </c>
      <c r="H27" s="9">
        <f t="shared" si="0"/>
        <v>12.054683236598931</v>
      </c>
      <c r="I27" s="9">
        <f t="shared" si="1"/>
        <v>6.167581454723868</v>
      </c>
      <c r="J27" s="9">
        <f t="shared" si="2"/>
        <v>0.28047967284880304</v>
      </c>
      <c r="K27" s="9">
        <f t="shared" si="3"/>
        <v>0.4175814547238671</v>
      </c>
      <c r="L27" s="9">
        <f t="shared" si="4"/>
        <v>0.5546832365989312</v>
      </c>
      <c r="M27" s="9">
        <f t="shared" si="5"/>
        <v>0.6917850184739951</v>
      </c>
      <c r="N27" s="9">
        <f t="shared" si="6"/>
        <v>0.8288868003490591</v>
      </c>
      <c r="O27" s="9">
        <f t="shared" si="7"/>
        <v>0.9417850184739951</v>
      </c>
      <c r="P27" s="9">
        <f>sunrise(Location!$B$4,Location!$B$5,Location!$B$6,4,A27,Location!$B$7,IF(Location!$B$8="No",0,1))</f>
        <v>0.28047967284880304</v>
      </c>
      <c r="Q27" s="9">
        <f>sunset(Location!$B$4,Location!$B$5,Location!$B$6,4,A27,Location!$B$7,IF(Location!$B$8="No",0,1))</f>
        <v>0.8288868003490591</v>
      </c>
      <c r="R27" s="9">
        <f t="shared" si="8"/>
        <v>0.5484071275002561</v>
      </c>
      <c r="S27" s="10">
        <f t="shared" si="9"/>
        <v>0.04570059395835468</v>
      </c>
      <c r="T27" s="9">
        <f t="shared" si="10"/>
        <v>23.451592872499745</v>
      </c>
      <c r="U27" s="10">
        <f t="shared" si="11"/>
        <v>0.03763273937497865</v>
      </c>
    </row>
    <row r="28" spans="1:21" ht="12.75">
      <c r="A28" s="5">
        <v>26</v>
      </c>
      <c r="B28" s="6" t="str">
        <f t="shared" si="14"/>
        <v>Monday</v>
      </c>
      <c r="C28" s="59"/>
      <c r="D28" s="17" t="s">
        <v>55</v>
      </c>
      <c r="E28" s="8" t="s">
        <v>26</v>
      </c>
      <c r="F28" s="6" t="s">
        <v>117</v>
      </c>
      <c r="G28" s="147" t="s">
        <v>282</v>
      </c>
      <c r="H28" s="9">
        <f t="shared" si="0"/>
        <v>12.054568317748156</v>
      </c>
      <c r="I28" s="9">
        <f t="shared" si="1"/>
        <v>6.167191966222465</v>
      </c>
      <c r="J28" s="9">
        <f t="shared" si="2"/>
        <v>0.27981561469677324</v>
      </c>
      <c r="K28" s="9">
        <f t="shared" si="3"/>
        <v>0.41719196622246557</v>
      </c>
      <c r="L28" s="9">
        <f t="shared" si="4"/>
        <v>0.554568317748158</v>
      </c>
      <c r="M28" s="9">
        <f t="shared" si="5"/>
        <v>0.6919446692738502</v>
      </c>
      <c r="N28" s="9">
        <f t="shared" si="6"/>
        <v>0.8293210207995426</v>
      </c>
      <c r="O28" s="9">
        <f t="shared" si="7"/>
        <v>0.9419446692738502</v>
      </c>
      <c r="P28" s="9">
        <f>sunrise(Location!$B$4,Location!$B$5,Location!$B$6,4,A28,Location!$B$7,IF(Location!$B$8="No",0,1))</f>
        <v>0.27981561469677324</v>
      </c>
      <c r="Q28" s="9">
        <f>sunset(Location!$B$4,Location!$B$5,Location!$B$6,4,A28,Location!$B$7,IF(Location!$B$8="No",0,1))</f>
        <v>0.8293210207995426</v>
      </c>
      <c r="R28" s="9">
        <f t="shared" si="8"/>
        <v>0.5495054061027693</v>
      </c>
      <c r="S28" s="10">
        <f t="shared" si="9"/>
        <v>0.045792117175230775</v>
      </c>
      <c r="T28" s="9">
        <f t="shared" si="10"/>
        <v>23.45049459389723</v>
      </c>
      <c r="U28" s="10">
        <f t="shared" si="11"/>
        <v>0.037541216158102554</v>
      </c>
    </row>
    <row r="29" spans="1:21" ht="12.75">
      <c r="A29" s="5">
        <v>27</v>
      </c>
      <c r="B29" s="6" t="str">
        <f t="shared" si="14"/>
        <v>Tuesday</v>
      </c>
      <c r="C29" s="59"/>
      <c r="D29" s="17"/>
      <c r="E29" s="8" t="s">
        <v>29</v>
      </c>
      <c r="F29" s="6" t="s">
        <v>118</v>
      </c>
      <c r="G29" s="144"/>
      <c r="H29" s="9">
        <f t="shared" si="0"/>
        <v>12.05445908239021</v>
      </c>
      <c r="I29" s="9">
        <f t="shared" si="1"/>
        <v>6.166810397490498</v>
      </c>
      <c r="J29" s="9">
        <f t="shared" si="2"/>
        <v>0.2791617125907871</v>
      </c>
      <c r="K29" s="9">
        <f t="shared" si="3"/>
        <v>0.416810397490498</v>
      </c>
      <c r="L29" s="9">
        <f t="shared" si="4"/>
        <v>0.5544590823902089</v>
      </c>
      <c r="M29" s="9">
        <f t="shared" si="5"/>
        <v>0.6921077672899199</v>
      </c>
      <c r="N29" s="9">
        <f t="shared" si="6"/>
        <v>0.8297564521896307</v>
      </c>
      <c r="O29" s="9">
        <f t="shared" si="7"/>
        <v>0.9421077672899197</v>
      </c>
      <c r="P29" s="9">
        <f>sunrise(Location!$B$4,Location!$B$5,Location!$B$6,4,A29,Location!$B$7,IF(Location!$B$8="No",0,1))</f>
        <v>0.2791617125907871</v>
      </c>
      <c r="Q29" s="9">
        <f>sunset(Location!$B$4,Location!$B$5,Location!$B$6,4,A29,Location!$B$7,IF(Location!$B$8="No",0,1))</f>
        <v>0.8297564521896307</v>
      </c>
      <c r="R29" s="9">
        <f t="shared" si="8"/>
        <v>0.5505947395988435</v>
      </c>
      <c r="S29" s="10">
        <f t="shared" si="9"/>
        <v>0.045882894966570296</v>
      </c>
      <c r="T29" s="9">
        <f t="shared" si="10"/>
        <v>23.449405260401157</v>
      </c>
      <c r="U29" s="10">
        <f t="shared" si="11"/>
        <v>0.03745043836676303</v>
      </c>
    </row>
    <row r="30" spans="1:21" ht="12.75">
      <c r="A30" s="5">
        <v>28</v>
      </c>
      <c r="B30" s="6" t="str">
        <f t="shared" si="14"/>
        <v>Wednesday</v>
      </c>
      <c r="C30" s="59"/>
      <c r="D30" s="17" t="s">
        <v>59</v>
      </c>
      <c r="E30" s="8" t="s">
        <v>32</v>
      </c>
      <c r="F30" s="6" t="s">
        <v>119</v>
      </c>
      <c r="G30" s="144"/>
      <c r="H30" s="9">
        <f t="shared" si="0"/>
        <v>12.054355639961726</v>
      </c>
      <c r="I30" s="9">
        <f t="shared" si="1"/>
        <v>6.166436943940432</v>
      </c>
      <c r="J30" s="9">
        <f t="shared" si="2"/>
        <v>0.27851824791913776</v>
      </c>
      <c r="K30" s="9">
        <f t="shared" si="3"/>
        <v>0.4164369439404315</v>
      </c>
      <c r="L30" s="9">
        <f t="shared" si="4"/>
        <v>0.5543556399617253</v>
      </c>
      <c r="M30" s="9">
        <f t="shared" si="5"/>
        <v>0.6922743359830191</v>
      </c>
      <c r="N30" s="9">
        <f t="shared" si="6"/>
        <v>0.8301930320043129</v>
      </c>
      <c r="O30" s="9">
        <f t="shared" si="7"/>
        <v>0.9422743359830191</v>
      </c>
      <c r="P30" s="9">
        <f>sunrise(Location!$B$4,Location!$B$5,Location!$B$6,4,A30,Location!$B$7,IF(Location!$B$8="No",0,1))</f>
        <v>0.27851824791913776</v>
      </c>
      <c r="Q30" s="9">
        <f>sunset(Location!$B$4,Location!$B$5,Location!$B$6,4,A30,Location!$B$7,IF(Location!$B$8="No",0,1))</f>
        <v>0.8301930320043129</v>
      </c>
      <c r="R30" s="9">
        <f t="shared" si="8"/>
        <v>0.5516747840851752</v>
      </c>
      <c r="S30" s="10">
        <f t="shared" si="9"/>
        <v>0.045972898673764605</v>
      </c>
      <c r="T30" s="9">
        <f t="shared" si="10"/>
        <v>23.448325215914824</v>
      </c>
      <c r="U30" s="10">
        <f t="shared" si="11"/>
        <v>0.037360434659568724</v>
      </c>
    </row>
    <row r="31" spans="1:21" ht="12.75">
      <c r="A31" s="5">
        <v>29</v>
      </c>
      <c r="B31" s="6" t="str">
        <f>B3</f>
        <v>Thursday</v>
      </c>
      <c r="C31" s="59"/>
      <c r="D31" s="97" t="s">
        <v>61</v>
      </c>
      <c r="E31" s="8" t="s">
        <v>36</v>
      </c>
      <c r="F31" s="6" t="s">
        <v>120</v>
      </c>
      <c r="G31" s="144"/>
      <c r="H31" s="9">
        <f t="shared" si="0"/>
        <v>12.054258093306792</v>
      </c>
      <c r="I31" s="9">
        <f t="shared" si="1"/>
        <v>6.166071796171746</v>
      </c>
      <c r="J31" s="9">
        <f t="shared" si="2"/>
        <v>0.2778854990366998</v>
      </c>
      <c r="K31" s="9">
        <f t="shared" si="3"/>
        <v>0.4160717961717468</v>
      </c>
      <c r="L31" s="9">
        <f t="shared" si="4"/>
        <v>0.5542580933067938</v>
      </c>
      <c r="M31" s="9">
        <f t="shared" si="5"/>
        <v>0.6924443904418407</v>
      </c>
      <c r="N31" s="9">
        <f t="shared" si="6"/>
        <v>0.8306306875768876</v>
      </c>
      <c r="O31" s="9">
        <f t="shared" si="7"/>
        <v>0.9424443904418407</v>
      </c>
      <c r="P31" s="9">
        <f>sunrise(Location!$B$4,Location!$B$5,Location!$B$6,4,A31,Location!$B$7,IF(Location!$B$8="No",0,1))</f>
        <v>0.2778854990366998</v>
      </c>
      <c r="Q31" s="9">
        <f>sunset(Location!$B$4,Location!$B$5,Location!$B$6,4,A31,Location!$B$7,IF(Location!$B$8="No",0,1))</f>
        <v>0.8306306875768876</v>
      </c>
      <c r="R31" s="9">
        <f t="shared" si="8"/>
        <v>0.5527451885401878</v>
      </c>
      <c r="S31" s="10">
        <f t="shared" si="9"/>
        <v>0.04606209904501565</v>
      </c>
      <c r="T31" s="9">
        <f t="shared" si="10"/>
        <v>23.44725481145981</v>
      </c>
      <c r="U31" s="10">
        <f t="shared" si="11"/>
        <v>0.037271234288317676</v>
      </c>
    </row>
    <row r="32" spans="1:21" ht="12.75">
      <c r="A32" s="5">
        <v>30</v>
      </c>
      <c r="B32" s="6" t="str">
        <f>B4</f>
        <v>Friday</v>
      </c>
      <c r="C32" s="59"/>
      <c r="E32" s="8" t="s">
        <v>17</v>
      </c>
      <c r="F32" s="6" t="s">
        <v>78</v>
      </c>
      <c r="G32" s="144"/>
      <c r="H32" s="9">
        <f t="shared" si="0"/>
        <v>12.054166538474334</v>
      </c>
      <c r="I32" s="9">
        <f t="shared" si="1"/>
        <v>6.165715139749002</v>
      </c>
      <c r="J32" s="9">
        <f t="shared" si="2"/>
        <v>0.2772637410236703</v>
      </c>
      <c r="K32" s="9">
        <f t="shared" si="3"/>
        <v>0.4157151397490014</v>
      </c>
      <c r="L32" s="9">
        <f t="shared" si="4"/>
        <v>0.5541665384743326</v>
      </c>
      <c r="M32" s="9">
        <f t="shared" si="5"/>
        <v>0.6926179371996637</v>
      </c>
      <c r="N32" s="9">
        <f t="shared" si="6"/>
        <v>0.8310693359249949</v>
      </c>
      <c r="O32" s="9">
        <f t="shared" si="7"/>
        <v>0.9426179371996637</v>
      </c>
      <c r="P32" s="9">
        <f>sunrise(Location!$B$4,Location!$B$5,Location!$B$6,4,A32,Location!$B$7,IF(Location!$B$8="No",0,1))</f>
        <v>0.2772637410236703</v>
      </c>
      <c r="Q32" s="9">
        <f>sunset(Location!$B$4,Location!$B$5,Location!$B$6,4,A32,Location!$B$7,IF(Location!$B$8="No",0,1))</f>
        <v>0.8310693359249949</v>
      </c>
      <c r="R32" s="9">
        <f t="shared" si="8"/>
        <v>0.5538055949013245</v>
      </c>
      <c r="S32" s="10">
        <f t="shared" si="9"/>
        <v>0.046150466241777044</v>
      </c>
      <c r="T32" s="9">
        <f t="shared" si="10"/>
        <v>23.446194405098677</v>
      </c>
      <c r="U32" s="10">
        <f t="shared" si="11"/>
        <v>0.037182867091556285</v>
      </c>
    </row>
    <row r="33" ht="12.75">
      <c r="G33" s="18"/>
    </row>
    <row r="34" ht="12.75">
      <c r="G34" s="18"/>
    </row>
    <row r="35" spans="1:7" ht="12.75">
      <c r="A35" s="6"/>
      <c r="G35" s="18"/>
    </row>
    <row r="36" spans="2:7" ht="12.75">
      <c r="B36" s="6"/>
      <c r="D36" s="40">
        <f>Location!C12</f>
        <v>16</v>
      </c>
      <c r="F36" s="6"/>
      <c r="G36" s="18"/>
    </row>
    <row r="37" spans="1:21" ht="12.75">
      <c r="A37" s="6"/>
      <c r="B37" s="6"/>
      <c r="C37" s="58" t="str">
        <f>IF(Location!B9="No",Location!C13,Location!C14)</f>
        <v>C</v>
      </c>
      <c r="D37" s="6"/>
      <c r="F37" s="6"/>
      <c r="G37" s="15"/>
      <c r="H37" s="9"/>
      <c r="I37" s="9"/>
      <c r="J37" s="9"/>
      <c r="K37" s="9"/>
      <c r="L37" s="9"/>
      <c r="M37" s="9"/>
      <c r="N37" s="9"/>
      <c r="O37" s="9"/>
      <c r="P37" s="9"/>
      <c r="Q37" s="9"/>
      <c r="R37" s="9"/>
      <c r="S37" s="10"/>
      <c r="T37" s="9"/>
      <c r="U37" s="10"/>
    </row>
    <row r="38" spans="1:21" ht="12.75">
      <c r="A38" s="6"/>
      <c r="B38" s="6"/>
      <c r="C38" s="6"/>
      <c r="D38" s="6"/>
      <c r="F38" s="6"/>
      <c r="G38" s="15"/>
      <c r="H38" s="9"/>
      <c r="I38" s="9"/>
      <c r="J38" s="9"/>
      <c r="K38" s="9"/>
      <c r="L38" s="9"/>
      <c r="M38" s="9"/>
      <c r="N38" s="9"/>
      <c r="O38" s="9"/>
      <c r="P38" s="9"/>
      <c r="Q38" s="9"/>
      <c r="R38" s="9"/>
      <c r="S38" s="10"/>
      <c r="T38" s="9"/>
      <c r="U38" s="10"/>
    </row>
    <row r="39" spans="1:21" ht="12.75">
      <c r="A39" s="6"/>
      <c r="B39" s="6"/>
      <c r="C39" s="6"/>
      <c r="D39" s="6"/>
      <c r="E39" s="6"/>
      <c r="F39" s="6"/>
      <c r="G39" s="15"/>
      <c r="H39" s="9"/>
      <c r="I39" s="9"/>
      <c r="J39" s="9"/>
      <c r="K39" s="9"/>
      <c r="L39" s="9"/>
      <c r="M39" s="9"/>
      <c r="N39" s="9"/>
      <c r="O39" s="9"/>
      <c r="P39" s="9"/>
      <c r="Q39" s="9"/>
      <c r="R39" s="9"/>
      <c r="S39" s="10"/>
      <c r="T39" s="9"/>
      <c r="U39" s="10"/>
    </row>
    <row r="40" spans="1:21" ht="12.75">
      <c r="A40" s="6"/>
      <c r="B40" s="6"/>
      <c r="C40" s="6"/>
      <c r="D40" s="6"/>
      <c r="E40" s="6"/>
      <c r="F40" s="6"/>
      <c r="G40" s="15"/>
      <c r="H40" s="9"/>
      <c r="I40" s="9"/>
      <c r="J40" s="9"/>
      <c r="K40" s="9"/>
      <c r="L40" s="9"/>
      <c r="M40" s="9"/>
      <c r="N40" s="9"/>
      <c r="O40" s="9"/>
      <c r="P40" s="9"/>
      <c r="Q40" s="9"/>
      <c r="R40" s="9"/>
      <c r="S40" s="10"/>
      <c r="T40" s="9"/>
      <c r="U40" s="10"/>
    </row>
    <row r="41" spans="1:21" ht="12.75">
      <c r="A41" s="6"/>
      <c r="B41" s="6"/>
      <c r="C41" s="6"/>
      <c r="D41" s="6"/>
      <c r="E41" s="6"/>
      <c r="F41" s="6"/>
      <c r="G41" s="15"/>
      <c r="H41" s="9"/>
      <c r="I41" s="9"/>
      <c r="J41" s="9"/>
      <c r="K41" s="9"/>
      <c r="L41" s="9"/>
      <c r="M41" s="9"/>
      <c r="N41" s="9"/>
      <c r="O41" s="9"/>
      <c r="P41" s="9"/>
      <c r="Q41" s="9"/>
      <c r="R41" s="9"/>
      <c r="S41" s="10"/>
      <c r="T41" s="9"/>
      <c r="U41" s="10"/>
    </row>
    <row r="42" spans="1:21" ht="12.75">
      <c r="A42" s="6"/>
      <c r="B42" s="6"/>
      <c r="C42" s="6"/>
      <c r="D42" s="6"/>
      <c r="E42" s="6"/>
      <c r="F42" s="6"/>
      <c r="G42" s="15"/>
      <c r="H42" s="9"/>
      <c r="I42" s="9"/>
      <c r="J42" s="9"/>
      <c r="K42" s="9"/>
      <c r="L42" s="9"/>
      <c r="M42" s="9"/>
      <c r="N42" s="9"/>
      <c r="O42" s="9"/>
      <c r="P42" s="9"/>
      <c r="Q42" s="9"/>
      <c r="R42" s="9"/>
      <c r="S42" s="10"/>
      <c r="T42" s="9"/>
      <c r="U42" s="10"/>
    </row>
    <row r="43" spans="1:21" ht="12.75">
      <c r="A43" s="6"/>
      <c r="B43" s="6"/>
      <c r="C43" s="6"/>
      <c r="D43" s="6"/>
      <c r="E43" s="6"/>
      <c r="F43" s="6"/>
      <c r="G43" s="15"/>
      <c r="H43" s="9"/>
      <c r="I43" s="9"/>
      <c r="J43" s="9"/>
      <c r="K43" s="9"/>
      <c r="L43" s="9"/>
      <c r="M43" s="9"/>
      <c r="N43" s="9"/>
      <c r="O43" s="9"/>
      <c r="P43" s="9"/>
      <c r="Q43" s="9"/>
      <c r="R43" s="9"/>
      <c r="S43" s="10"/>
      <c r="T43" s="9"/>
      <c r="U43" s="10"/>
    </row>
    <row r="44" spans="1:21" ht="12.75">
      <c r="A44" s="6"/>
      <c r="B44" s="6"/>
      <c r="C44" s="6"/>
      <c r="D44" s="6"/>
      <c r="E44" s="6"/>
      <c r="F44" s="6"/>
      <c r="G44" s="15"/>
      <c r="H44" s="9"/>
      <c r="I44" s="9"/>
      <c r="J44" s="9"/>
      <c r="K44" s="9"/>
      <c r="L44" s="9"/>
      <c r="M44" s="9"/>
      <c r="N44" s="9"/>
      <c r="O44" s="9"/>
      <c r="P44" s="9"/>
      <c r="Q44" s="9"/>
      <c r="R44" s="9"/>
      <c r="S44" s="10"/>
      <c r="T44" s="9"/>
      <c r="U44" s="10"/>
    </row>
    <row r="45" spans="1:21" ht="12.75">
      <c r="A45" s="6"/>
      <c r="B45" s="6"/>
      <c r="C45" s="6"/>
      <c r="D45" s="6"/>
      <c r="E45" s="6"/>
      <c r="F45" s="6"/>
      <c r="G45" s="15"/>
      <c r="H45" s="9"/>
      <c r="I45" s="9"/>
      <c r="J45" s="9"/>
      <c r="K45" s="9"/>
      <c r="L45" s="9"/>
      <c r="M45" s="9"/>
      <c r="N45" s="9"/>
      <c r="O45" s="9"/>
      <c r="P45" s="9"/>
      <c r="Q45" s="9"/>
      <c r="R45" s="9"/>
      <c r="S45" s="10"/>
      <c r="T45" s="9"/>
      <c r="U45" s="10"/>
    </row>
    <row r="46" spans="1:21" ht="12.75">
      <c r="A46" s="6"/>
      <c r="C46" s="6"/>
      <c r="E46" s="6"/>
      <c r="G46" s="15"/>
      <c r="H46" s="9"/>
      <c r="I46" s="9"/>
      <c r="J46" s="9"/>
      <c r="K46" s="9"/>
      <c r="L46" s="9"/>
      <c r="M46" s="9"/>
      <c r="N46" s="9"/>
      <c r="O46" s="9"/>
      <c r="P46" s="9"/>
      <c r="Q46" s="9"/>
      <c r="R46" s="9"/>
      <c r="S46" s="10"/>
      <c r="T46" s="9"/>
      <c r="U46" s="10"/>
    </row>
    <row r="47" ht="12.75">
      <c r="G47" s="18"/>
    </row>
    <row r="48" ht="12.75">
      <c r="G48" s="18"/>
    </row>
    <row r="49" ht="12.75">
      <c r="G49" s="18"/>
    </row>
    <row r="50" ht="12.75">
      <c r="G50" s="18"/>
    </row>
    <row r="51" ht="12.75">
      <c r="G51" s="18"/>
    </row>
    <row r="52" ht="12.75">
      <c r="G52" s="18"/>
    </row>
    <row r="53" ht="12.75">
      <c r="G53" s="18"/>
    </row>
    <row r="54" ht="12.75">
      <c r="G54" s="18"/>
    </row>
    <row r="55" ht="12.75">
      <c r="G55" s="18"/>
    </row>
    <row r="56" ht="12.75">
      <c r="G56" s="18"/>
    </row>
    <row r="57" ht="12.75">
      <c r="G57" s="18"/>
    </row>
    <row r="58" ht="12.75">
      <c r="G58" s="18"/>
    </row>
    <row r="59" ht="12.75">
      <c r="G59" s="18"/>
    </row>
    <row r="60" ht="12.75">
      <c r="G60" s="18"/>
    </row>
    <row r="61" ht="12.75">
      <c r="G61" s="18"/>
    </row>
    <row r="62" ht="12.75">
      <c r="G62" s="18"/>
    </row>
    <row r="63" ht="12.75">
      <c r="G63" s="18"/>
    </row>
    <row r="64" ht="12.75">
      <c r="G64" s="18"/>
    </row>
    <row r="65" ht="12.75">
      <c r="G65" s="18"/>
    </row>
    <row r="66" ht="12.75">
      <c r="G66" s="18"/>
    </row>
    <row r="67" ht="12.75">
      <c r="G67" s="18"/>
    </row>
    <row r="68" ht="12.75">
      <c r="G68" s="18"/>
    </row>
    <row r="69" ht="12.75">
      <c r="G69" s="18"/>
    </row>
    <row r="70" ht="12.75">
      <c r="G70" s="18"/>
    </row>
    <row r="71" ht="12.75">
      <c r="G71" s="18"/>
    </row>
    <row r="72" ht="12.75">
      <c r="G72" s="18"/>
    </row>
    <row r="73" ht="12.75">
      <c r="G73" s="18"/>
    </row>
    <row r="74" ht="12.75">
      <c r="G74" s="18"/>
    </row>
    <row r="75" ht="12.75">
      <c r="G75" s="18"/>
    </row>
    <row r="76" ht="12.75">
      <c r="G76" s="18"/>
    </row>
    <row r="77" ht="12.75">
      <c r="G77" s="18"/>
    </row>
    <row r="78" ht="12.75">
      <c r="G78" s="18"/>
    </row>
    <row r="79" spans="2:7" ht="12.75">
      <c r="B79" s="6"/>
      <c r="D79" s="6"/>
      <c r="F79" s="6"/>
      <c r="G79" s="18"/>
    </row>
    <row r="80" spans="1:21" ht="12.75">
      <c r="A80" s="6"/>
      <c r="B80" s="6"/>
      <c r="C80" s="6"/>
      <c r="D80" s="6"/>
      <c r="E80" s="6"/>
      <c r="F80" s="6"/>
      <c r="G80" s="15"/>
      <c r="H80" s="9"/>
      <c r="I80" s="9"/>
      <c r="J80" s="9"/>
      <c r="K80" s="9"/>
      <c r="L80" s="9"/>
      <c r="M80" s="9"/>
      <c r="N80" s="9"/>
      <c r="O80" s="9"/>
      <c r="P80" s="9"/>
      <c r="Q80" s="9"/>
      <c r="R80" s="9"/>
      <c r="S80" s="10"/>
      <c r="T80" s="9"/>
      <c r="U80" s="10"/>
    </row>
    <row r="81" spans="1:21" ht="12.75">
      <c r="A81" s="6"/>
      <c r="B81" s="6"/>
      <c r="C81" s="6"/>
      <c r="D81" s="6"/>
      <c r="E81" s="6"/>
      <c r="F81" s="6"/>
      <c r="G81" s="15"/>
      <c r="H81" s="9"/>
      <c r="I81" s="9"/>
      <c r="J81" s="9"/>
      <c r="K81" s="9"/>
      <c r="L81" s="9"/>
      <c r="M81" s="9"/>
      <c r="N81" s="9"/>
      <c r="O81" s="9"/>
      <c r="P81" s="9"/>
      <c r="Q81" s="9"/>
      <c r="R81" s="9"/>
      <c r="S81" s="10"/>
      <c r="T81" s="9"/>
      <c r="U81" s="10"/>
    </row>
    <row r="82" spans="1:21" ht="12.75">
      <c r="A82" s="6"/>
      <c r="B82" s="6"/>
      <c r="C82" s="6"/>
      <c r="D82" s="6"/>
      <c r="E82" s="6"/>
      <c r="F82" s="6"/>
      <c r="G82" s="15"/>
      <c r="H82" s="9"/>
      <c r="I82" s="9"/>
      <c r="J82" s="9"/>
      <c r="K82" s="9"/>
      <c r="L82" s="9"/>
      <c r="M82" s="9"/>
      <c r="N82" s="9"/>
      <c r="O82" s="9"/>
      <c r="P82" s="9"/>
      <c r="Q82" s="9"/>
      <c r="R82" s="9"/>
      <c r="S82" s="10"/>
      <c r="T82" s="9"/>
      <c r="U82" s="10"/>
    </row>
    <row r="83" spans="1:21" ht="12.75">
      <c r="A83" s="6"/>
      <c r="B83" s="6"/>
      <c r="C83" s="6"/>
      <c r="D83" s="6"/>
      <c r="E83" s="6"/>
      <c r="F83" s="6"/>
      <c r="G83" s="15"/>
      <c r="H83" s="9"/>
      <c r="I83" s="9"/>
      <c r="J83" s="9"/>
      <c r="K83" s="9"/>
      <c r="L83" s="9"/>
      <c r="M83" s="9"/>
      <c r="N83" s="9"/>
      <c r="O83" s="9"/>
      <c r="P83" s="9"/>
      <c r="Q83" s="9"/>
      <c r="R83" s="9"/>
      <c r="S83" s="10"/>
      <c r="T83" s="9"/>
      <c r="U83" s="10"/>
    </row>
    <row r="84" spans="1:21" ht="12.75">
      <c r="A84" s="6"/>
      <c r="B84" s="6"/>
      <c r="C84" s="6"/>
      <c r="D84" s="6"/>
      <c r="E84" s="6"/>
      <c r="F84" s="6"/>
      <c r="G84" s="15"/>
      <c r="H84" s="9"/>
      <c r="I84" s="9"/>
      <c r="J84" s="9"/>
      <c r="K84" s="9"/>
      <c r="L84" s="9"/>
      <c r="M84" s="9"/>
      <c r="N84" s="9"/>
      <c r="O84" s="9"/>
      <c r="P84" s="9"/>
      <c r="Q84" s="9"/>
      <c r="R84" s="9"/>
      <c r="S84" s="10"/>
      <c r="T84" s="9"/>
      <c r="U84" s="10"/>
    </row>
    <row r="85" spans="1:21" ht="12.75">
      <c r="A85" s="6"/>
      <c r="B85" s="6"/>
      <c r="C85" s="6"/>
      <c r="D85" s="6"/>
      <c r="E85" s="6"/>
      <c r="F85" s="6"/>
      <c r="G85" s="15"/>
      <c r="H85" s="9"/>
      <c r="I85" s="9"/>
      <c r="J85" s="9"/>
      <c r="K85" s="9"/>
      <c r="L85" s="9"/>
      <c r="M85" s="9"/>
      <c r="N85" s="9"/>
      <c r="O85" s="9"/>
      <c r="P85" s="9"/>
      <c r="Q85" s="9"/>
      <c r="R85" s="9"/>
      <c r="S85" s="10"/>
      <c r="T85" s="9"/>
      <c r="U85" s="10"/>
    </row>
    <row r="86" spans="1:21" ht="12.75">
      <c r="A86" s="6"/>
      <c r="C86" s="6"/>
      <c r="E86" s="6"/>
      <c r="G86" s="15"/>
      <c r="H86" s="9"/>
      <c r="I86" s="9"/>
      <c r="J86" s="9"/>
      <c r="K86" s="9"/>
      <c r="L86" s="9"/>
      <c r="M86" s="9"/>
      <c r="N86" s="9"/>
      <c r="O86" s="9"/>
      <c r="P86" s="9"/>
      <c r="Q86" s="9"/>
      <c r="R86" s="9"/>
      <c r="S86" s="10"/>
      <c r="T86" s="9"/>
      <c r="U86" s="10"/>
    </row>
    <row r="87" ht="12.75">
      <c r="G87" s="18"/>
    </row>
    <row r="88" ht="12.75">
      <c r="G88" s="18"/>
    </row>
    <row r="89" ht="12.75">
      <c r="G89" s="18"/>
    </row>
    <row r="90" ht="12.75">
      <c r="G90" s="18"/>
    </row>
    <row r="91" ht="12.75">
      <c r="G91" s="18"/>
    </row>
    <row r="92" ht="12.75">
      <c r="G92" s="18"/>
    </row>
    <row r="93" ht="12.75">
      <c r="G93" s="18"/>
    </row>
    <row r="94" ht="12.75">
      <c r="G94" s="18"/>
    </row>
    <row r="95" ht="12.75">
      <c r="G95" s="18"/>
    </row>
    <row r="96" ht="12.75">
      <c r="G96" s="18"/>
    </row>
    <row r="97" ht="12.75">
      <c r="G97" s="18"/>
    </row>
    <row r="98" ht="12.75">
      <c r="G98" s="18"/>
    </row>
    <row r="99" ht="12.75">
      <c r="G99" s="18"/>
    </row>
    <row r="100" ht="12.75">
      <c r="G100" s="18"/>
    </row>
    <row r="101" ht="12.75">
      <c r="G101" s="18"/>
    </row>
    <row r="102" ht="12.75">
      <c r="G102" s="18"/>
    </row>
    <row r="103" ht="12.75">
      <c r="G103" s="18"/>
    </row>
    <row r="104" ht="12.75">
      <c r="G104" s="18"/>
    </row>
    <row r="105" ht="12.75">
      <c r="G105" s="18"/>
    </row>
    <row r="106" ht="12.75">
      <c r="G106" s="18"/>
    </row>
    <row r="107" ht="12.75">
      <c r="G107" s="18"/>
    </row>
    <row r="108" ht="12.75">
      <c r="G108" s="18"/>
    </row>
    <row r="109" ht="12.75">
      <c r="G109" s="18"/>
    </row>
    <row r="110" ht="12.75">
      <c r="G110" s="18"/>
    </row>
    <row r="111" ht="12.75">
      <c r="G111" s="18"/>
    </row>
    <row r="112" ht="12.75">
      <c r="G112" s="18"/>
    </row>
    <row r="113" ht="12.75">
      <c r="G113" s="18"/>
    </row>
    <row r="114" ht="12.75">
      <c r="G114" s="18"/>
    </row>
    <row r="115" ht="12.75">
      <c r="G115" s="18"/>
    </row>
    <row r="116" ht="12.75">
      <c r="G116" s="18"/>
    </row>
    <row r="117" ht="12.75">
      <c r="G117" s="18"/>
    </row>
    <row r="118" spans="2:7" ht="12.75">
      <c r="B118" s="6"/>
      <c r="D118" s="6"/>
      <c r="F118" s="6"/>
      <c r="G118" s="18"/>
    </row>
    <row r="119" spans="1:21" ht="12.75">
      <c r="A119" s="6"/>
      <c r="B119" s="6"/>
      <c r="C119" s="6"/>
      <c r="D119" s="6"/>
      <c r="E119" s="6"/>
      <c r="F119" s="6"/>
      <c r="G119" s="15"/>
      <c r="H119" s="9"/>
      <c r="I119" s="9"/>
      <c r="J119" s="9"/>
      <c r="K119" s="9"/>
      <c r="L119" s="9"/>
      <c r="M119" s="9"/>
      <c r="N119" s="9"/>
      <c r="O119" s="9"/>
      <c r="P119" s="9"/>
      <c r="Q119" s="9"/>
      <c r="R119" s="9"/>
      <c r="S119" s="10"/>
      <c r="T119" s="9"/>
      <c r="U119" s="10"/>
    </row>
    <row r="120" spans="1:21" ht="12.75">
      <c r="A120" s="6"/>
      <c r="B120" s="6"/>
      <c r="C120" s="6"/>
      <c r="D120" s="6"/>
      <c r="E120" s="6"/>
      <c r="F120" s="6"/>
      <c r="G120" s="15"/>
      <c r="H120" s="9"/>
      <c r="I120" s="9"/>
      <c r="J120" s="9"/>
      <c r="K120" s="9"/>
      <c r="L120" s="9"/>
      <c r="M120" s="9"/>
      <c r="N120" s="9"/>
      <c r="O120" s="9"/>
      <c r="P120" s="9"/>
      <c r="Q120" s="9"/>
      <c r="R120" s="9"/>
      <c r="S120" s="10"/>
      <c r="T120" s="9"/>
      <c r="U120" s="10"/>
    </row>
    <row r="121" spans="1:21" ht="12.75">
      <c r="A121" s="6"/>
      <c r="B121" s="6"/>
      <c r="C121" s="6"/>
      <c r="D121" s="6"/>
      <c r="E121" s="6"/>
      <c r="F121" s="6"/>
      <c r="G121" s="15"/>
      <c r="H121" s="9"/>
      <c r="I121" s="9"/>
      <c r="J121" s="9"/>
      <c r="K121" s="9"/>
      <c r="L121" s="9"/>
      <c r="M121" s="9"/>
      <c r="N121" s="9"/>
      <c r="O121" s="9"/>
      <c r="P121" s="9"/>
      <c r="Q121" s="9"/>
      <c r="R121" s="9"/>
      <c r="S121" s="10"/>
      <c r="T121" s="9"/>
      <c r="U121" s="10"/>
    </row>
    <row r="122" spans="1:21" ht="12.75">
      <c r="A122" s="6"/>
      <c r="B122" s="6"/>
      <c r="C122" s="6"/>
      <c r="D122" s="6"/>
      <c r="E122" s="6"/>
      <c r="F122" s="6"/>
      <c r="G122" s="15"/>
      <c r="H122" s="9"/>
      <c r="I122" s="9"/>
      <c r="J122" s="9"/>
      <c r="K122" s="9"/>
      <c r="L122" s="9"/>
      <c r="M122" s="9"/>
      <c r="N122" s="9"/>
      <c r="O122" s="9"/>
      <c r="P122" s="9"/>
      <c r="Q122" s="9"/>
      <c r="R122" s="9"/>
      <c r="S122" s="10"/>
      <c r="T122" s="9"/>
      <c r="U122" s="10"/>
    </row>
    <row r="123" spans="1:21" ht="12.75">
      <c r="A123" s="6"/>
      <c r="B123" s="6"/>
      <c r="C123" s="6"/>
      <c r="D123" s="6"/>
      <c r="E123" s="6"/>
      <c r="F123" s="6"/>
      <c r="G123" s="15"/>
      <c r="H123" s="9"/>
      <c r="I123" s="9"/>
      <c r="J123" s="9"/>
      <c r="K123" s="9"/>
      <c r="L123" s="9"/>
      <c r="M123" s="9"/>
      <c r="N123" s="9"/>
      <c r="O123" s="9"/>
      <c r="P123" s="9"/>
      <c r="Q123" s="9"/>
      <c r="R123" s="9"/>
      <c r="S123" s="10"/>
      <c r="T123" s="9"/>
      <c r="U123" s="10"/>
    </row>
    <row r="124" spans="1:21" ht="12.75">
      <c r="A124" s="6"/>
      <c r="B124" s="6"/>
      <c r="C124" s="6"/>
      <c r="D124" s="6"/>
      <c r="E124" s="6"/>
      <c r="F124" s="6"/>
      <c r="G124" s="15"/>
      <c r="H124" s="9"/>
      <c r="I124" s="9"/>
      <c r="J124" s="9"/>
      <c r="K124" s="9"/>
      <c r="L124" s="9"/>
      <c r="M124" s="9"/>
      <c r="N124" s="9"/>
      <c r="O124" s="9"/>
      <c r="P124" s="9"/>
      <c r="Q124" s="9"/>
      <c r="R124" s="9"/>
      <c r="S124" s="10"/>
      <c r="T124" s="9"/>
      <c r="U124" s="10"/>
    </row>
    <row r="125" spans="1:21" ht="12.75">
      <c r="A125" s="6"/>
      <c r="C125" s="6"/>
      <c r="E125" s="6"/>
      <c r="G125" s="15"/>
      <c r="H125" s="9"/>
      <c r="I125" s="9"/>
      <c r="J125" s="9"/>
      <c r="K125" s="9"/>
      <c r="L125" s="9"/>
      <c r="M125" s="9"/>
      <c r="N125" s="9"/>
      <c r="O125" s="9"/>
      <c r="P125" s="9"/>
      <c r="Q125" s="9"/>
      <c r="R125" s="9"/>
      <c r="S125" s="10"/>
      <c r="T125" s="10"/>
      <c r="U125" s="10"/>
    </row>
    <row r="126" ht="12.75">
      <c r="G126" s="18"/>
    </row>
    <row r="127" ht="12.75">
      <c r="G127" s="18"/>
    </row>
    <row r="128" ht="12.75">
      <c r="G128" s="18"/>
    </row>
    <row r="129" ht="12.75">
      <c r="G129" s="18"/>
    </row>
    <row r="130" ht="12.75">
      <c r="G130" s="18"/>
    </row>
    <row r="131" ht="12.75">
      <c r="G131" s="18"/>
    </row>
    <row r="132" ht="12.75">
      <c r="G132" s="18"/>
    </row>
    <row r="133" ht="12.75">
      <c r="G133" s="18"/>
    </row>
    <row r="134" ht="12.75">
      <c r="G134" s="18"/>
    </row>
    <row r="135" ht="12.75">
      <c r="G135" s="18"/>
    </row>
    <row r="136" ht="12.75">
      <c r="G136" s="18"/>
    </row>
    <row r="137" ht="12.75">
      <c r="G137" s="18"/>
    </row>
    <row r="138" ht="12.75">
      <c r="G138" s="18"/>
    </row>
    <row r="139" ht="12.75">
      <c r="G139" s="18"/>
    </row>
    <row r="140" ht="12.75">
      <c r="G140" s="18"/>
    </row>
    <row r="141" ht="12.75">
      <c r="G141" s="18"/>
    </row>
    <row r="142" ht="12.75">
      <c r="G142" s="18"/>
    </row>
    <row r="143" ht="12.75">
      <c r="G143" s="18"/>
    </row>
    <row r="144" ht="12.75">
      <c r="G144" s="18"/>
    </row>
    <row r="145" ht="12.75">
      <c r="G145" s="18"/>
    </row>
    <row r="146" ht="12.75">
      <c r="G146" s="18"/>
    </row>
    <row r="147" ht="12.75">
      <c r="G147" s="18"/>
    </row>
    <row r="148" ht="12.75">
      <c r="G148" s="18"/>
    </row>
    <row r="149" ht="12.75">
      <c r="G149" s="18"/>
    </row>
    <row r="150" ht="12.75">
      <c r="G150" s="18"/>
    </row>
    <row r="151" ht="12.75">
      <c r="G151" s="18"/>
    </row>
    <row r="152" ht="12.75">
      <c r="G152" s="18"/>
    </row>
    <row r="153" ht="12.75">
      <c r="G153" s="18"/>
    </row>
    <row r="154" ht="12.75">
      <c r="G154" s="18"/>
    </row>
    <row r="155" ht="12.75">
      <c r="G155" s="18"/>
    </row>
    <row r="156" ht="12.75">
      <c r="G156" s="18"/>
    </row>
    <row r="157" ht="12.75">
      <c r="G157" s="18"/>
    </row>
    <row r="158" spans="2:7" ht="12.75">
      <c r="B158" s="6"/>
      <c r="D158" s="6"/>
      <c r="F158" s="6"/>
      <c r="G158" s="18"/>
    </row>
    <row r="159" spans="1:21" ht="12.75">
      <c r="A159" s="6"/>
      <c r="B159" s="6"/>
      <c r="C159" s="6"/>
      <c r="D159" s="6"/>
      <c r="E159" s="6"/>
      <c r="F159" s="6"/>
      <c r="G159" s="15"/>
      <c r="H159" s="9"/>
      <c r="I159" s="9"/>
      <c r="J159" s="9"/>
      <c r="K159" s="9"/>
      <c r="L159" s="9"/>
      <c r="M159" s="9"/>
      <c r="N159" s="9"/>
      <c r="O159" s="9"/>
      <c r="P159" s="9"/>
      <c r="Q159" s="9"/>
      <c r="R159" s="9"/>
      <c r="S159" s="10"/>
      <c r="T159" s="9"/>
      <c r="U159" s="10"/>
    </row>
    <row r="160" spans="1:21" ht="12.75">
      <c r="A160" s="6"/>
      <c r="B160" s="6"/>
      <c r="C160" s="6"/>
      <c r="D160" s="6"/>
      <c r="E160" s="6"/>
      <c r="F160" s="6"/>
      <c r="G160" s="15"/>
      <c r="H160" s="9"/>
      <c r="I160" s="9"/>
      <c r="J160" s="9"/>
      <c r="K160" s="9"/>
      <c r="L160" s="9"/>
      <c r="M160" s="9"/>
      <c r="N160" s="9"/>
      <c r="O160" s="9"/>
      <c r="P160" s="9"/>
      <c r="Q160" s="9"/>
      <c r="R160" s="9"/>
      <c r="S160" s="10"/>
      <c r="T160" s="9"/>
      <c r="U160" s="10"/>
    </row>
    <row r="161" spans="1:21" ht="12.75">
      <c r="A161" s="6"/>
      <c r="B161" s="6"/>
      <c r="C161" s="6"/>
      <c r="D161" s="6"/>
      <c r="E161" s="6"/>
      <c r="F161" s="6"/>
      <c r="G161" s="15"/>
      <c r="H161" s="9"/>
      <c r="I161" s="9"/>
      <c r="J161" s="9"/>
      <c r="K161" s="9"/>
      <c r="L161" s="9"/>
      <c r="M161" s="9"/>
      <c r="N161" s="9"/>
      <c r="O161" s="9"/>
      <c r="P161" s="9"/>
      <c r="Q161" s="9"/>
      <c r="R161" s="9"/>
      <c r="S161" s="10"/>
      <c r="T161" s="9"/>
      <c r="U161" s="10"/>
    </row>
    <row r="162" spans="1:21" ht="12.75">
      <c r="A162" s="6"/>
      <c r="B162" s="6"/>
      <c r="C162" s="6"/>
      <c r="D162" s="6"/>
      <c r="E162" s="6"/>
      <c r="F162" s="6"/>
      <c r="G162" s="15"/>
      <c r="H162" s="9"/>
      <c r="I162" s="9"/>
      <c r="J162" s="9"/>
      <c r="K162" s="9"/>
      <c r="L162" s="9"/>
      <c r="M162" s="9"/>
      <c r="N162" s="9"/>
      <c r="O162" s="9"/>
      <c r="P162" s="9"/>
      <c r="Q162" s="9"/>
      <c r="R162" s="9"/>
      <c r="S162" s="10"/>
      <c r="T162" s="9"/>
      <c r="U162" s="10"/>
    </row>
    <row r="163" spans="1:21" ht="12.75">
      <c r="A163" s="6"/>
      <c r="B163" s="6"/>
      <c r="C163" s="6"/>
      <c r="D163" s="6"/>
      <c r="E163" s="6"/>
      <c r="F163" s="6"/>
      <c r="G163" s="15"/>
      <c r="H163" s="9"/>
      <c r="I163" s="9"/>
      <c r="J163" s="9"/>
      <c r="K163" s="9"/>
      <c r="L163" s="9"/>
      <c r="M163" s="9"/>
      <c r="N163" s="9"/>
      <c r="O163" s="9"/>
      <c r="P163" s="9"/>
      <c r="Q163" s="9"/>
      <c r="R163" s="9"/>
      <c r="S163" s="10"/>
      <c r="T163" s="9"/>
      <c r="U163" s="10"/>
    </row>
    <row r="164" spans="1:21" ht="12.75">
      <c r="A164" s="6"/>
      <c r="B164" s="6"/>
      <c r="C164" s="6"/>
      <c r="D164" s="6"/>
      <c r="E164" s="6"/>
      <c r="F164" s="6"/>
      <c r="G164" s="15"/>
      <c r="H164" s="9"/>
      <c r="I164" s="9"/>
      <c r="J164" s="9"/>
      <c r="K164" s="9"/>
      <c r="L164" s="9"/>
      <c r="M164" s="9"/>
      <c r="N164" s="9"/>
      <c r="O164" s="9"/>
      <c r="P164" s="9"/>
      <c r="Q164" s="9"/>
      <c r="R164" s="9"/>
      <c r="S164" s="10"/>
      <c r="T164" s="9"/>
      <c r="U164" s="10"/>
    </row>
    <row r="165" spans="1:21" ht="12.75">
      <c r="A165" s="6"/>
      <c r="C165" s="6"/>
      <c r="E165" s="6"/>
      <c r="G165" s="15"/>
      <c r="H165" s="9"/>
      <c r="I165" s="9"/>
      <c r="J165" s="9"/>
      <c r="K165" s="9"/>
      <c r="L165" s="9"/>
      <c r="M165" s="9"/>
      <c r="N165" s="9"/>
      <c r="O165" s="9"/>
      <c r="P165" s="9"/>
      <c r="Q165" s="9"/>
      <c r="R165" s="9"/>
      <c r="S165" s="10"/>
      <c r="T165" s="9"/>
      <c r="U165" s="10"/>
    </row>
  </sheetData>
  <sheetProtection/>
  <conditionalFormatting sqref="E3:E32">
    <cfRule type="cellIs" priority="1" dxfId="1" operator="equal" stopIfTrue="1">
      <formula>$C$37</formula>
    </cfRule>
  </conditionalFormatting>
  <conditionalFormatting sqref="D4">
    <cfRule type="expression" priority="2" dxfId="16" stopIfTrue="1">
      <formula>$D$36=9</formula>
    </cfRule>
    <cfRule type="expression" priority="3" dxfId="52" stopIfTrue="1">
      <formula>$D$36=13</formula>
    </cfRule>
  </conditionalFormatting>
  <conditionalFormatting sqref="D10">
    <cfRule type="expression" priority="4" dxfId="52" stopIfTrue="1">
      <formula>$D$36=7</formula>
    </cfRule>
  </conditionalFormatting>
  <conditionalFormatting sqref="D13">
    <cfRule type="expression" priority="5" dxfId="52" stopIfTrue="1">
      <formula>$D$36=4</formula>
    </cfRule>
  </conditionalFormatting>
  <conditionalFormatting sqref="D15">
    <cfRule type="expression" priority="6" dxfId="52" stopIfTrue="1">
      <formula>$D$36=12</formula>
    </cfRule>
  </conditionalFormatting>
  <conditionalFormatting sqref="D5">
    <cfRule type="expression" priority="7" dxfId="16" stopIfTrue="1">
      <formula>$D$36=17</formula>
    </cfRule>
    <cfRule type="expression" priority="8" dxfId="52" stopIfTrue="1">
      <formula>$D$36=2</formula>
    </cfRule>
  </conditionalFormatting>
  <conditionalFormatting sqref="D6">
    <cfRule type="expression" priority="9" dxfId="16" stopIfTrue="1">
      <formula>$D$36=6</formula>
    </cfRule>
  </conditionalFormatting>
  <conditionalFormatting sqref="D7">
    <cfRule type="expression" priority="10" dxfId="52" stopIfTrue="1">
      <formula>$D$36=10</formula>
    </cfRule>
  </conditionalFormatting>
  <conditionalFormatting sqref="D9">
    <cfRule type="expression" priority="11" dxfId="52" stopIfTrue="1">
      <formula>$D$36=18</formula>
    </cfRule>
  </conditionalFormatting>
  <conditionalFormatting sqref="D12">
    <cfRule type="expression" priority="12" dxfId="52" stopIfTrue="1">
      <formula>$D$36=15</formula>
    </cfRule>
  </conditionalFormatting>
  <conditionalFormatting sqref="D16">
    <cfRule type="expression" priority="13" dxfId="52" stopIfTrue="1">
      <formula>$D$36=1</formula>
    </cfRule>
  </conditionalFormatting>
  <conditionalFormatting sqref="D18">
    <cfRule type="expression" priority="14" dxfId="52" stopIfTrue="1">
      <formula>$D$36=9</formula>
    </cfRule>
  </conditionalFormatting>
  <conditionalFormatting sqref="D19">
    <cfRule type="expression" priority="15" dxfId="52" stopIfTrue="1">
      <formula>$D$36=17</formula>
    </cfRule>
  </conditionalFormatting>
  <conditionalFormatting sqref="D20">
    <cfRule type="expression" priority="16" dxfId="52" stopIfTrue="1">
      <formula>$D$36=6</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U37"/>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177</v>
      </c>
      <c r="B1" s="122"/>
      <c r="C1" s="127"/>
      <c r="D1" s="123" t="str">
        <f>ROMAN(Location!$B$6)</f>
        <v>MMX</v>
      </c>
      <c r="E1" s="122"/>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Aprilis!B26</f>
        <v>Saturday</v>
      </c>
      <c r="C3" s="59"/>
      <c r="D3" s="17"/>
      <c r="E3" s="8" t="s">
        <v>21</v>
      </c>
      <c r="F3" s="6" t="s">
        <v>18</v>
      </c>
      <c r="G3" s="46" t="s">
        <v>127</v>
      </c>
      <c r="H3" s="9">
        <f aca="true" t="shared" si="0" ref="H3:H33">(T3/2)+Q3-"12:00:00"</f>
        <v>12.054081064516758</v>
      </c>
      <c r="I3" s="9">
        <f aca="true" t="shared" si="1" ref="I3:I33">H3+((J3-H3)/2)</f>
        <v>6.165367154976199</v>
      </c>
      <c r="J3" s="9">
        <f aca="true" t="shared" si="2" ref="J3:J33">P3</f>
        <v>0.2766532454356391</v>
      </c>
      <c r="K3" s="9">
        <f aca="true" t="shared" si="3" ref="K3:K33">J3+((L3-J3)/2)</f>
        <v>0.4153671549761979</v>
      </c>
      <c r="L3" s="9">
        <f aca="true" t="shared" si="4" ref="L3:L33">(R3/2)+J3</f>
        <v>0.5540810645167568</v>
      </c>
      <c r="M3" s="9">
        <f aca="true" t="shared" si="5" ref="M3:M33">((N3-L3)/2)+L3</f>
        <v>0.6927949740573156</v>
      </c>
      <c r="N3" s="9">
        <f aca="true" t="shared" si="6" ref="N3:N33">Q3</f>
        <v>0.8315088835978744</v>
      </c>
      <c r="O3" s="9">
        <f aca="true" t="shared" si="7" ref="O3:O33">3*U3+N3</f>
        <v>0.9427949740573156</v>
      </c>
      <c r="P3" s="9">
        <f>sunrise(Location!$B$4,Location!$B$5,Location!$B$6,5,A3,Location!$B$7,IF(Location!$B$8="No",0,1))</f>
        <v>0.2766532454356391</v>
      </c>
      <c r="Q3" s="9">
        <f>sunset(Location!$B$4,Location!$B$5,Location!$B$6,5,A3,Location!$B$7,IF(Location!$B$8="No",0,1))</f>
        <v>0.8315088835978744</v>
      </c>
      <c r="R3" s="9">
        <f aca="true" t="shared" si="8" ref="R3:R33">Q3-P3</f>
        <v>0.5548556381622354</v>
      </c>
      <c r="S3" s="10">
        <f aca="true" t="shared" si="9" ref="S3:S33">R3/12</f>
        <v>0.046237969846852946</v>
      </c>
      <c r="T3" s="9">
        <f aca="true" t="shared" si="10" ref="T3:T33">(24-(Q3-P3))</f>
        <v>23.445144361837766</v>
      </c>
      <c r="U3" s="10">
        <f aca="true" t="shared" si="11" ref="U3:U33">"1:00:00"-S3+"1:00:00"</f>
        <v>0.03709536348648038</v>
      </c>
    </row>
    <row r="4" spans="1:21" ht="12.75">
      <c r="A4" s="5">
        <v>2</v>
      </c>
      <c r="B4" s="6" t="str">
        <f>Aprilis!B27</f>
        <v>Sunday</v>
      </c>
      <c r="C4" s="59"/>
      <c r="D4" s="17" t="s">
        <v>64</v>
      </c>
      <c r="E4" s="8" t="s">
        <v>24</v>
      </c>
      <c r="F4" s="6" t="s">
        <v>90</v>
      </c>
      <c r="G4" s="146" t="s">
        <v>285</v>
      </c>
      <c r="H4" s="9">
        <f t="shared" si="0"/>
        <v>12.05400175329038</v>
      </c>
      <c r="I4" s="9">
        <f t="shared" si="1"/>
        <v>6.165028016665067</v>
      </c>
      <c r="J4" s="9">
        <f t="shared" si="2"/>
        <v>0.2760542800397532</v>
      </c>
      <c r="K4" s="9">
        <f t="shared" si="3"/>
        <v>0.41502801666506633</v>
      </c>
      <c r="L4" s="9">
        <f t="shared" si="4"/>
        <v>0.5540017532903795</v>
      </c>
      <c r="M4" s="9">
        <f t="shared" si="5"/>
        <v>0.6929754899156926</v>
      </c>
      <c r="N4" s="9">
        <f t="shared" si="6"/>
        <v>0.8319492265410058</v>
      </c>
      <c r="O4" s="9">
        <f t="shared" si="7"/>
        <v>0.9429754899156926</v>
      </c>
      <c r="P4" s="9">
        <f>sunrise(Location!$B$4,Location!$B$5,Location!$B$6,5,A4,Location!$B$7,IF(Location!$B$8="No",0,1))</f>
        <v>0.2760542800397532</v>
      </c>
      <c r="Q4" s="9">
        <f>sunset(Location!$B$4,Location!$B$5,Location!$B$6,5,A4,Location!$B$7,IF(Location!$B$8="No",0,1))</f>
        <v>0.8319492265410058</v>
      </c>
      <c r="R4" s="9">
        <f t="shared" si="8"/>
        <v>0.5558949465012526</v>
      </c>
      <c r="S4" s="10">
        <f t="shared" si="9"/>
        <v>0.04632457887510438</v>
      </c>
      <c r="T4" s="9">
        <f t="shared" si="10"/>
        <v>23.44410505349875</v>
      </c>
      <c r="U4" s="10">
        <f t="shared" si="11"/>
        <v>0.037008754458228946</v>
      </c>
    </row>
    <row r="5" spans="1:21" ht="12.75">
      <c r="A5" s="5">
        <v>3</v>
      </c>
      <c r="B5" s="6" t="str">
        <f>Aprilis!B28</f>
        <v>Monday</v>
      </c>
      <c r="C5" s="59"/>
      <c r="D5" s="17" t="s">
        <v>67</v>
      </c>
      <c r="E5" s="8" t="s">
        <v>26</v>
      </c>
      <c r="F5" s="6" t="s">
        <v>92</v>
      </c>
      <c r="G5" s="144" t="s">
        <v>128</v>
      </c>
      <c r="H5" s="9">
        <f t="shared" si="0"/>
        <v>12.053928679261809</v>
      </c>
      <c r="I5" s="9">
        <f t="shared" si="1"/>
        <v>6.16469789390331</v>
      </c>
      <c r="J5" s="9">
        <f t="shared" si="2"/>
        <v>0.2754671085448119</v>
      </c>
      <c r="K5" s="9">
        <f t="shared" si="3"/>
        <v>0.4146978939033098</v>
      </c>
      <c r="L5" s="9">
        <f t="shared" si="4"/>
        <v>0.5539286792618077</v>
      </c>
      <c r="M5" s="9">
        <f t="shared" si="5"/>
        <v>0.6931594646203055</v>
      </c>
      <c r="N5" s="9">
        <f t="shared" si="6"/>
        <v>0.8323902499788034</v>
      </c>
      <c r="O5" s="9">
        <f t="shared" si="7"/>
        <v>0.9431594646203055</v>
      </c>
      <c r="P5" s="9">
        <f>sunrise(Location!$B$4,Location!$B$5,Location!$B$6,5,A5,Location!$B$7,IF(Location!$B$8="No",0,1))</f>
        <v>0.2754671085448119</v>
      </c>
      <c r="Q5" s="9">
        <f>sunset(Location!$B$4,Location!$B$5,Location!$B$6,5,A5,Location!$B$7,IF(Location!$B$8="No",0,1))</f>
        <v>0.8323902499788034</v>
      </c>
      <c r="R5" s="9">
        <f t="shared" si="8"/>
        <v>0.5569231414339915</v>
      </c>
      <c r="S5" s="10">
        <f t="shared" si="9"/>
        <v>0.04641026178616595</v>
      </c>
      <c r="T5" s="9">
        <f t="shared" si="10"/>
        <v>23.44307685856601</v>
      </c>
      <c r="U5" s="10">
        <f t="shared" si="11"/>
        <v>0.036923071547167376</v>
      </c>
    </row>
    <row r="6" spans="1:21" ht="12.75">
      <c r="A6" s="5">
        <v>4</v>
      </c>
      <c r="B6" s="6" t="str">
        <f>Aprilis!B29</f>
        <v>Tuesday</v>
      </c>
      <c r="C6" s="59"/>
      <c r="D6" s="17" t="s">
        <v>69</v>
      </c>
      <c r="E6" s="8" t="s">
        <v>29</v>
      </c>
      <c r="F6" s="6" t="s">
        <v>93</v>
      </c>
      <c r="G6" s="144"/>
      <c r="H6" s="9">
        <f t="shared" si="0"/>
        <v>12.053861909315547</v>
      </c>
      <c r="I6" s="9">
        <f t="shared" si="1"/>
        <v>6.164376949816217</v>
      </c>
      <c r="J6" s="9">
        <f t="shared" si="2"/>
        <v>0.2748919903168871</v>
      </c>
      <c r="K6" s="9">
        <f t="shared" si="3"/>
        <v>0.4143769498162172</v>
      </c>
      <c r="L6" s="9">
        <f t="shared" si="4"/>
        <v>0.5538619093155472</v>
      </c>
      <c r="M6" s="9">
        <f t="shared" si="5"/>
        <v>0.6933468688148774</v>
      </c>
      <c r="N6" s="9">
        <f t="shared" si="6"/>
        <v>0.8328318283142075</v>
      </c>
      <c r="O6" s="9">
        <f t="shared" si="7"/>
        <v>0.9433468688148774</v>
      </c>
      <c r="P6" s="9">
        <f>sunrise(Location!$B$4,Location!$B$5,Location!$B$6,5,A6,Location!$B$7,IF(Location!$B$8="No",0,1))</f>
        <v>0.2748919903168871</v>
      </c>
      <c r="Q6" s="9">
        <f>sunset(Location!$B$4,Location!$B$5,Location!$B$6,5,A6,Location!$B$7,IF(Location!$B$8="No",0,1))</f>
        <v>0.8328318283142075</v>
      </c>
      <c r="R6" s="9">
        <f t="shared" si="8"/>
        <v>0.5579398379973204</v>
      </c>
      <c r="S6" s="10">
        <f t="shared" si="9"/>
        <v>0.0464949864997767</v>
      </c>
      <c r="T6" s="9">
        <f t="shared" si="10"/>
        <v>23.44206016200268</v>
      </c>
      <c r="U6" s="10">
        <f t="shared" si="11"/>
        <v>0.03683834683355663</v>
      </c>
    </row>
    <row r="7" spans="1:21" ht="12.75">
      <c r="A7" s="5">
        <v>5</v>
      </c>
      <c r="B7" s="6" t="str">
        <f>Aprilis!B30</f>
        <v>Wednesday</v>
      </c>
      <c r="C7" s="59"/>
      <c r="D7" s="17"/>
      <c r="E7" s="8" t="s">
        <v>32</v>
      </c>
      <c r="F7" s="6" t="s">
        <v>94</v>
      </c>
      <c r="G7" s="144"/>
      <c r="H7" s="9">
        <f t="shared" si="0"/>
        <v>12.05380150256875</v>
      </c>
      <c r="I7" s="9">
        <f t="shared" si="1"/>
        <v>6.164065341328785</v>
      </c>
      <c r="J7" s="9">
        <f t="shared" si="2"/>
        <v>0.27432918008882046</v>
      </c>
      <c r="K7" s="9">
        <f t="shared" si="3"/>
        <v>0.4140653413287849</v>
      </c>
      <c r="L7" s="9">
        <f t="shared" si="4"/>
        <v>0.5538015025687494</v>
      </c>
      <c r="M7" s="9">
        <f t="shared" si="5"/>
        <v>0.6935376638087138</v>
      </c>
      <c r="N7" s="9">
        <f t="shared" si="6"/>
        <v>0.8332738250486783</v>
      </c>
      <c r="O7" s="9">
        <f t="shared" si="7"/>
        <v>0.9435376638087138</v>
      </c>
      <c r="P7" s="9">
        <f>sunrise(Location!$B$4,Location!$B$5,Location!$B$6,5,A7,Location!$B$7,IF(Location!$B$8="No",0,1))</f>
        <v>0.27432918008882046</v>
      </c>
      <c r="Q7" s="9">
        <f>sunset(Location!$B$4,Location!$B$5,Location!$B$6,5,A7,Location!$B$7,IF(Location!$B$8="No",0,1))</f>
        <v>0.8332738250486783</v>
      </c>
      <c r="R7" s="9">
        <f t="shared" si="8"/>
        <v>0.5589446449598579</v>
      </c>
      <c r="S7" s="10">
        <f t="shared" si="9"/>
        <v>0.046578720413321485</v>
      </c>
      <c r="T7" s="9">
        <f t="shared" si="10"/>
        <v>23.44105535504014</v>
      </c>
      <c r="U7" s="10">
        <f t="shared" si="11"/>
        <v>0.036754612920011843</v>
      </c>
    </row>
    <row r="8" spans="1:21" ht="12.75">
      <c r="A8" s="5">
        <v>6</v>
      </c>
      <c r="B8" s="6" t="str">
        <f>Aprilis!B31</f>
        <v>Thursday</v>
      </c>
      <c r="C8" s="59"/>
      <c r="D8" s="17" t="s">
        <v>72</v>
      </c>
      <c r="E8" s="8" t="s">
        <v>36</v>
      </c>
      <c r="F8" s="6" t="s">
        <v>27</v>
      </c>
      <c r="G8" s="144"/>
      <c r="H8" s="9">
        <f t="shared" si="0"/>
        <v>12.053747510191737</v>
      </c>
      <c r="I8" s="9">
        <f t="shared" si="1"/>
        <v>6.163763218925265</v>
      </c>
      <c r="J8" s="9">
        <f t="shared" si="2"/>
        <v>0.27377892765879314</v>
      </c>
      <c r="K8" s="9">
        <f t="shared" si="3"/>
        <v>0.41376321892526535</v>
      </c>
      <c r="L8" s="9">
        <f t="shared" si="4"/>
        <v>0.5537475101917375</v>
      </c>
      <c r="M8" s="9">
        <f t="shared" si="5"/>
        <v>0.6937318014582097</v>
      </c>
      <c r="N8" s="9">
        <f t="shared" si="6"/>
        <v>0.833716092724682</v>
      </c>
      <c r="O8" s="9">
        <f t="shared" si="7"/>
        <v>0.9437318014582097</v>
      </c>
      <c r="P8" s="9">
        <f>sunrise(Location!$B$4,Location!$B$5,Location!$B$6,5,A8,Location!$B$7,IF(Location!$B$8="No",0,1))</f>
        <v>0.27377892765879314</v>
      </c>
      <c r="Q8" s="9">
        <f>sunset(Location!$B$4,Location!$B$5,Location!$B$6,5,A8,Location!$B$7,IF(Location!$B$8="No",0,1))</f>
        <v>0.833716092724682</v>
      </c>
      <c r="R8" s="9">
        <f t="shared" si="8"/>
        <v>0.5599371650658889</v>
      </c>
      <c r="S8" s="10">
        <f t="shared" si="9"/>
        <v>0.0466614304221574</v>
      </c>
      <c r="T8" s="9">
        <f t="shared" si="10"/>
        <v>23.44006283493411</v>
      </c>
      <c r="U8" s="10">
        <f t="shared" si="11"/>
        <v>0.036671902911175926</v>
      </c>
    </row>
    <row r="9" spans="1:21" ht="12.75">
      <c r="A9" s="5">
        <v>7</v>
      </c>
      <c r="B9" s="6" t="str">
        <f>Aprilis!B32</f>
        <v>Friday</v>
      </c>
      <c r="C9" s="59"/>
      <c r="D9" s="17" t="s">
        <v>75</v>
      </c>
      <c r="E9" s="8" t="s">
        <v>17</v>
      </c>
      <c r="F9" s="6" t="s">
        <v>30</v>
      </c>
      <c r="G9" s="144"/>
      <c r="H9" s="9">
        <f t="shared" si="0"/>
        <v>12.05369997523458</v>
      </c>
      <c r="I9" s="9">
        <f t="shared" si="1"/>
        <v>6.163470726408292</v>
      </c>
      <c r="J9" s="9">
        <f t="shared" si="2"/>
        <v>0.2732414775820038</v>
      </c>
      <c r="K9" s="9">
        <f t="shared" si="3"/>
        <v>0.41347072640829197</v>
      </c>
      <c r="L9" s="9">
        <f t="shared" si="4"/>
        <v>0.5536999752345801</v>
      </c>
      <c r="M9" s="9">
        <f t="shared" si="5"/>
        <v>0.6939292240608683</v>
      </c>
      <c r="N9" s="9">
        <f t="shared" si="6"/>
        <v>0.8341584728871564</v>
      </c>
      <c r="O9" s="9">
        <f t="shared" si="7"/>
        <v>0.9439292240608682</v>
      </c>
      <c r="P9" s="9">
        <f>sunrise(Location!$B$4,Location!$B$5,Location!$B$6,5,A9,Location!$B$7,IF(Location!$B$8="No",0,1))</f>
        <v>0.2732414775820038</v>
      </c>
      <c r="Q9" s="9">
        <f>sunset(Location!$B$4,Location!$B$5,Location!$B$6,5,A9,Location!$B$7,IF(Location!$B$8="No",0,1))</f>
        <v>0.8341584728871564</v>
      </c>
      <c r="R9" s="9">
        <f t="shared" si="8"/>
        <v>0.5609169953051526</v>
      </c>
      <c r="S9" s="10">
        <f t="shared" si="9"/>
        <v>0.04674308294209605</v>
      </c>
      <c r="T9" s="9">
        <f t="shared" si="10"/>
        <v>23.439083004694847</v>
      </c>
      <c r="U9" s="10">
        <f t="shared" si="11"/>
        <v>0.036590250391237276</v>
      </c>
    </row>
    <row r="10" spans="1:21" ht="12.75">
      <c r="A10" s="5">
        <v>8</v>
      </c>
      <c r="B10" s="6" t="str">
        <f aca="true" t="shared" si="12" ref="B10:B16">B3</f>
        <v>Saturday</v>
      </c>
      <c r="C10" s="59"/>
      <c r="D10" s="17"/>
      <c r="E10" s="8" t="s">
        <v>21</v>
      </c>
      <c r="F10" s="6" t="s">
        <v>95</v>
      </c>
      <c r="G10" s="144"/>
      <c r="H10" s="9">
        <f t="shared" si="0"/>
        <v>12.053658932462824</v>
      </c>
      <c r="I10" s="9">
        <f t="shared" si="1"/>
        <v>6.1631880006578585</v>
      </c>
      <c r="J10" s="9">
        <f t="shared" si="2"/>
        <v>0.27271706885289393</v>
      </c>
      <c r="K10" s="9">
        <f t="shared" si="3"/>
        <v>0.4131880006578591</v>
      </c>
      <c r="L10" s="9">
        <f t="shared" si="4"/>
        <v>0.5536589324628243</v>
      </c>
      <c r="M10" s="9">
        <f t="shared" si="5"/>
        <v>0.6941298642677894</v>
      </c>
      <c r="N10" s="9">
        <f t="shared" si="6"/>
        <v>0.8346007960727546</v>
      </c>
      <c r="O10" s="9">
        <f t="shared" si="7"/>
        <v>0.9441298642677894</v>
      </c>
      <c r="P10" s="9">
        <f>sunrise(Location!$B$4,Location!$B$5,Location!$B$6,5,A10,Location!$B$7,IF(Location!$B$8="No",0,1))</f>
        <v>0.27271706885289393</v>
      </c>
      <c r="Q10" s="9">
        <f>sunset(Location!$B$4,Location!$B$5,Location!$B$6,5,A10,Location!$B$7,IF(Location!$B$8="No",0,1))</f>
        <v>0.8346007960727546</v>
      </c>
      <c r="R10" s="9">
        <f t="shared" si="8"/>
        <v>0.5618837272198607</v>
      </c>
      <c r="S10" s="10">
        <f t="shared" si="9"/>
        <v>0.04682364393498839</v>
      </c>
      <c r="T10" s="9">
        <f t="shared" si="10"/>
        <v>23.43811627278014</v>
      </c>
      <c r="U10" s="10">
        <f t="shared" si="11"/>
        <v>0.03650968939834494</v>
      </c>
    </row>
    <row r="11" spans="1:21" ht="12.75">
      <c r="A11" s="5">
        <v>9</v>
      </c>
      <c r="B11" s="6" t="str">
        <f t="shared" si="12"/>
        <v>Sunday</v>
      </c>
      <c r="C11" s="59"/>
      <c r="D11" s="17" t="s">
        <v>20</v>
      </c>
      <c r="E11" s="8" t="s">
        <v>24</v>
      </c>
      <c r="F11" s="6" t="s">
        <v>96</v>
      </c>
      <c r="G11" s="146" t="s">
        <v>286</v>
      </c>
      <c r="H11" s="9">
        <f t="shared" si="0"/>
        <v>12.053624408200132</v>
      </c>
      <c r="I11" s="9">
        <f t="shared" si="1"/>
        <v>6.1629151713905195</v>
      </c>
      <c r="J11" s="9">
        <f t="shared" si="2"/>
        <v>0.27220593458090653</v>
      </c>
      <c r="K11" s="9">
        <f t="shared" si="3"/>
        <v>0.4129151713905195</v>
      </c>
      <c r="L11" s="9">
        <f t="shared" si="4"/>
        <v>0.5536244082001325</v>
      </c>
      <c r="M11" s="9">
        <f t="shared" si="5"/>
        <v>0.6943336450097455</v>
      </c>
      <c r="N11" s="9">
        <f t="shared" si="6"/>
        <v>0.8350428818193586</v>
      </c>
      <c r="O11" s="9">
        <f t="shared" si="7"/>
        <v>0.9443336450097456</v>
      </c>
      <c r="P11" s="9">
        <f>sunrise(Location!$B$4,Location!$B$5,Location!$B$6,5,A11,Location!$B$7,IF(Location!$B$8="No",0,1))</f>
        <v>0.27220593458090653</v>
      </c>
      <c r="Q11" s="9">
        <f>sunset(Location!$B$4,Location!$B$5,Location!$B$6,5,A11,Location!$B$7,IF(Location!$B$8="No",0,1))</f>
        <v>0.8350428818193586</v>
      </c>
      <c r="R11" s="9">
        <f t="shared" si="8"/>
        <v>0.562836947238452</v>
      </c>
      <c r="S11" s="10">
        <f t="shared" si="9"/>
        <v>0.04690307893653767</v>
      </c>
      <c r="T11" s="9">
        <f t="shared" si="10"/>
        <v>23.437163052761548</v>
      </c>
      <c r="U11" s="10">
        <f t="shared" si="11"/>
        <v>0.03643025439679566</v>
      </c>
    </row>
    <row r="12" spans="1:21" ht="12.75">
      <c r="A12" s="5">
        <v>10</v>
      </c>
      <c r="B12" s="6" t="str">
        <f t="shared" si="12"/>
        <v>Monday</v>
      </c>
      <c r="C12" s="59"/>
      <c r="D12" s="17"/>
      <c r="E12" s="8" t="s">
        <v>26</v>
      </c>
      <c r="F12" s="6" t="s">
        <v>97</v>
      </c>
      <c r="G12" s="144"/>
      <c r="H12" s="9">
        <f t="shared" si="0"/>
        <v>12.05359642018221</v>
      </c>
      <c r="I12" s="9">
        <f t="shared" si="1"/>
        <v>6.162652360921041</v>
      </c>
      <c r="J12" s="9">
        <f t="shared" si="2"/>
        <v>0.271708301659873</v>
      </c>
      <c r="K12" s="9">
        <f t="shared" si="3"/>
        <v>0.41265236092104207</v>
      </c>
      <c r="L12" s="9">
        <f t="shared" si="4"/>
        <v>0.5535964201822112</v>
      </c>
      <c r="M12" s="9">
        <f t="shared" si="5"/>
        <v>0.6945404794433803</v>
      </c>
      <c r="N12" s="9">
        <f t="shared" si="6"/>
        <v>0.8354845387045493</v>
      </c>
      <c r="O12" s="9">
        <f t="shared" si="7"/>
        <v>0.9445404794433802</v>
      </c>
      <c r="P12" s="9">
        <f>sunrise(Location!$B$4,Location!$B$5,Location!$B$6,5,A12,Location!$B$7,IF(Location!$B$8="No",0,1))</f>
        <v>0.271708301659873</v>
      </c>
      <c r="Q12" s="9">
        <f>sunset(Location!$B$4,Location!$B$5,Location!$B$6,5,A12,Location!$B$7,IF(Location!$B$8="No",0,1))</f>
        <v>0.8354845387045493</v>
      </c>
      <c r="R12" s="9">
        <f t="shared" si="8"/>
        <v>0.5637762370446764</v>
      </c>
      <c r="S12" s="10">
        <f t="shared" si="9"/>
        <v>0.046981353087056366</v>
      </c>
      <c r="T12" s="9">
        <f t="shared" si="10"/>
        <v>23.436223762955322</v>
      </c>
      <c r="U12" s="10">
        <f t="shared" si="11"/>
        <v>0.03635198024627696</v>
      </c>
    </row>
    <row r="13" spans="1:21" ht="12.75">
      <c r="A13" s="5">
        <v>11</v>
      </c>
      <c r="B13" s="6" t="str">
        <f t="shared" si="12"/>
        <v>Tuesday</v>
      </c>
      <c r="C13" s="59"/>
      <c r="D13" s="17" t="s">
        <v>23</v>
      </c>
      <c r="E13" s="8" t="s">
        <v>29</v>
      </c>
      <c r="F13" s="6" t="s">
        <v>98</v>
      </c>
      <c r="G13" s="144"/>
      <c r="H13" s="9">
        <f t="shared" si="0"/>
        <v>12.053574977419949</v>
      </c>
      <c r="I13" s="9">
        <f t="shared" si="1"/>
        <v>6.162399683925266</v>
      </c>
      <c r="J13" s="9">
        <f t="shared" si="2"/>
        <v>0.2712243904305848</v>
      </c>
      <c r="K13" s="9">
        <f t="shared" si="3"/>
        <v>0.41239968392526694</v>
      </c>
      <c r="L13" s="9">
        <f t="shared" si="4"/>
        <v>0.553574977419949</v>
      </c>
      <c r="M13" s="9">
        <f t="shared" si="5"/>
        <v>0.694750270914631</v>
      </c>
      <c r="N13" s="9">
        <f t="shared" si="6"/>
        <v>0.8359255644093131</v>
      </c>
      <c r="O13" s="9">
        <f t="shared" si="7"/>
        <v>0.944750270914631</v>
      </c>
      <c r="P13" s="9">
        <f>sunrise(Location!$B$4,Location!$B$5,Location!$B$6,5,A13,Location!$B$7,IF(Location!$B$8="No",0,1))</f>
        <v>0.2712243904305848</v>
      </c>
      <c r="Q13" s="9">
        <f>sunset(Location!$B$4,Location!$B$5,Location!$B$6,5,A13,Location!$B$7,IF(Location!$B$8="No",0,1))</f>
        <v>0.8359255644093131</v>
      </c>
      <c r="R13" s="9">
        <f t="shared" si="8"/>
        <v>0.5647011739787282</v>
      </c>
      <c r="S13" s="10">
        <f t="shared" si="9"/>
        <v>0.04705843116489402</v>
      </c>
      <c r="T13" s="9">
        <f t="shared" si="10"/>
        <v>23.43529882602127</v>
      </c>
      <c r="U13" s="10">
        <f t="shared" si="11"/>
        <v>0.03627490216843931</v>
      </c>
    </row>
    <row r="14" spans="1:21" ht="12.75">
      <c r="A14" s="5">
        <v>12</v>
      </c>
      <c r="B14" s="6" t="str">
        <f t="shared" si="12"/>
        <v>Wednesday</v>
      </c>
      <c r="C14" s="59"/>
      <c r="D14" s="17" t="s">
        <v>28</v>
      </c>
      <c r="E14" s="8" t="s">
        <v>32</v>
      </c>
      <c r="F14" s="6" t="s">
        <v>99</v>
      </c>
      <c r="G14" s="144"/>
      <c r="H14" s="9">
        <f t="shared" si="0"/>
        <v>12.0535600800746</v>
      </c>
      <c r="I14" s="9">
        <f t="shared" si="1"/>
        <v>6.162157247207123</v>
      </c>
      <c r="J14" s="9">
        <f t="shared" si="2"/>
        <v>0.27075441433964537</v>
      </c>
      <c r="K14" s="9">
        <f t="shared" si="3"/>
        <v>0.41215724720712343</v>
      </c>
      <c r="L14" s="9">
        <f t="shared" si="4"/>
        <v>0.5535600800746014</v>
      </c>
      <c r="M14" s="9">
        <f t="shared" si="5"/>
        <v>0.6949629129420793</v>
      </c>
      <c r="N14" s="9">
        <f t="shared" si="6"/>
        <v>0.8363657458095574</v>
      </c>
      <c r="O14" s="9">
        <f t="shared" si="7"/>
        <v>0.9449629129420793</v>
      </c>
      <c r="P14" s="9">
        <f>sunrise(Location!$B$4,Location!$B$5,Location!$B$6,5,A14,Location!$B$7,IF(Location!$B$8="No",0,1))</f>
        <v>0.27075441433964537</v>
      </c>
      <c r="Q14" s="9">
        <f>sunset(Location!$B$4,Location!$B$5,Location!$B$6,5,A14,Location!$B$7,IF(Location!$B$8="No",0,1))</f>
        <v>0.8363657458095574</v>
      </c>
      <c r="R14" s="9">
        <f t="shared" si="8"/>
        <v>0.565611331469912</v>
      </c>
      <c r="S14" s="10">
        <f t="shared" si="9"/>
        <v>0.04713427762249267</v>
      </c>
      <c r="T14" s="9">
        <f t="shared" si="10"/>
        <v>23.434388668530087</v>
      </c>
      <c r="U14" s="10">
        <f t="shared" si="11"/>
        <v>0.03619905571084066</v>
      </c>
    </row>
    <row r="15" spans="1:21" ht="12.75">
      <c r="A15" s="5">
        <v>13</v>
      </c>
      <c r="B15" s="6" t="str">
        <f t="shared" si="12"/>
        <v>Thursday</v>
      </c>
      <c r="C15" s="59"/>
      <c r="D15" s="17"/>
      <c r="E15" s="8" t="s">
        <v>36</v>
      </c>
      <c r="F15" s="6" t="s">
        <v>101</v>
      </c>
      <c r="G15" s="144"/>
      <c r="H15" s="9">
        <f t="shared" si="0"/>
        <v>12.053551719344352</v>
      </c>
      <c r="I15" s="9">
        <f t="shared" si="1"/>
        <v>6.1619251494686</v>
      </c>
      <c r="J15" s="9">
        <f t="shared" si="2"/>
        <v>0.270298579592849</v>
      </c>
      <c r="K15" s="9">
        <f t="shared" si="3"/>
        <v>0.4119251494685998</v>
      </c>
      <c r="L15" s="9">
        <f t="shared" si="4"/>
        <v>0.5535517193443507</v>
      </c>
      <c r="M15" s="9">
        <f t="shared" si="5"/>
        <v>0.6951782892201015</v>
      </c>
      <c r="N15" s="9">
        <f t="shared" si="6"/>
        <v>0.8368048590958523</v>
      </c>
      <c r="O15" s="9">
        <f t="shared" si="7"/>
        <v>0.9451782892201015</v>
      </c>
      <c r="P15" s="9">
        <f>sunrise(Location!$B$4,Location!$B$5,Location!$B$6,5,A15,Location!$B$7,IF(Location!$B$8="No",0,1))</f>
        <v>0.270298579592849</v>
      </c>
      <c r="Q15" s="9">
        <f>sunset(Location!$B$4,Location!$B$5,Location!$B$6,5,A15,Location!$B$7,IF(Location!$B$8="No",0,1))</f>
        <v>0.8368048590958523</v>
      </c>
      <c r="R15" s="9">
        <f t="shared" si="8"/>
        <v>0.5665062795030034</v>
      </c>
      <c r="S15" s="10">
        <f t="shared" si="9"/>
        <v>0.04720885662525028</v>
      </c>
      <c r="T15" s="9">
        <f t="shared" si="10"/>
        <v>23.433493720496998</v>
      </c>
      <c r="U15" s="10">
        <f t="shared" si="11"/>
        <v>0.036124476708083046</v>
      </c>
    </row>
    <row r="16" spans="1:21" ht="12.75">
      <c r="A16" s="5">
        <v>14</v>
      </c>
      <c r="B16" s="6" t="str">
        <f t="shared" si="12"/>
        <v>Friday</v>
      </c>
      <c r="C16" s="59"/>
      <c r="D16" s="17" t="s">
        <v>35</v>
      </c>
      <c r="E16" s="8" t="s">
        <v>17</v>
      </c>
      <c r="F16" s="6" t="s">
        <v>46</v>
      </c>
      <c r="G16" s="144"/>
      <c r="H16" s="9">
        <f t="shared" si="0"/>
        <v>12.053549877364183</v>
      </c>
      <c r="I16" s="9">
        <f t="shared" si="1"/>
        <v>6.161703481084987</v>
      </c>
      <c r="J16" s="9">
        <f t="shared" si="2"/>
        <v>0.2698570848057912</v>
      </c>
      <c r="K16" s="9">
        <f t="shared" si="3"/>
        <v>0.4117034810849876</v>
      </c>
      <c r="L16" s="9">
        <f t="shared" si="4"/>
        <v>0.553549877364184</v>
      </c>
      <c r="M16" s="9">
        <f t="shared" si="5"/>
        <v>0.6953962736433804</v>
      </c>
      <c r="N16" s="9">
        <f t="shared" si="6"/>
        <v>0.8372426699225768</v>
      </c>
      <c r="O16" s="9">
        <f t="shared" si="7"/>
        <v>0.9453962736433803</v>
      </c>
      <c r="P16" s="9">
        <f>sunrise(Location!$B$4,Location!$B$5,Location!$B$6,5,A16,Location!$B$7,IF(Location!$B$8="No",0,1))</f>
        <v>0.2698570848057912</v>
      </c>
      <c r="Q16" s="9">
        <f>sunset(Location!$B$4,Location!$B$5,Location!$B$6,5,A16,Location!$B$7,IF(Location!$B$8="No",0,1))</f>
        <v>0.8372426699225768</v>
      </c>
      <c r="R16" s="9">
        <f t="shared" si="8"/>
        <v>0.5673855851167856</v>
      </c>
      <c r="S16" s="10">
        <f t="shared" si="9"/>
        <v>0.04728213209306547</v>
      </c>
      <c r="T16" s="9">
        <f t="shared" si="10"/>
        <v>23.432614414883215</v>
      </c>
      <c r="U16" s="10">
        <f t="shared" si="11"/>
        <v>0.03605120124026786</v>
      </c>
    </row>
    <row r="17" spans="1:21" ht="12.75">
      <c r="A17" s="5">
        <v>15</v>
      </c>
      <c r="B17" s="6" t="str">
        <f aca="true" t="shared" si="13" ref="B17:B23">B3</f>
        <v>Saturday</v>
      </c>
      <c r="C17" s="59"/>
      <c r="D17" s="17" t="s">
        <v>38</v>
      </c>
      <c r="E17" s="8" t="s">
        <v>21</v>
      </c>
      <c r="F17" s="6" t="s">
        <v>47</v>
      </c>
      <c r="G17" s="144"/>
      <c r="H17" s="9">
        <f t="shared" si="0"/>
        <v>12.053554527119296</v>
      </c>
      <c r="I17" s="9">
        <f t="shared" si="1"/>
        <v>6.1614923238851045</v>
      </c>
      <c r="J17" s="9">
        <f t="shared" si="2"/>
        <v>0.2694301206509122</v>
      </c>
      <c r="K17" s="9">
        <f t="shared" si="3"/>
        <v>0.4114923238851037</v>
      </c>
      <c r="L17" s="9">
        <f t="shared" si="4"/>
        <v>0.5535545271192952</v>
      </c>
      <c r="M17" s="9">
        <f t="shared" si="5"/>
        <v>0.6956167303534867</v>
      </c>
      <c r="N17" s="9">
        <f t="shared" si="6"/>
        <v>0.8376789335876782</v>
      </c>
      <c r="O17" s="9">
        <f t="shared" si="7"/>
        <v>0.9456167303534867</v>
      </c>
      <c r="P17" s="9">
        <f>sunrise(Location!$B$4,Location!$B$5,Location!$B$6,5,A17,Location!$B$7,IF(Location!$B$8="No",0,1))</f>
        <v>0.2694301206509122</v>
      </c>
      <c r="Q17" s="9">
        <f>sunset(Location!$B$4,Location!$B$5,Location!$B$6,5,A17,Location!$B$7,IF(Location!$B$8="No",0,1))</f>
        <v>0.8376789335876782</v>
      </c>
      <c r="R17" s="9">
        <f t="shared" si="8"/>
        <v>0.568248812936766</v>
      </c>
      <c r="S17" s="10">
        <f t="shared" si="9"/>
        <v>0.0473540677447305</v>
      </c>
      <c r="T17" s="9">
        <f t="shared" si="10"/>
        <v>23.431751187063234</v>
      </c>
      <c r="U17" s="10">
        <f t="shared" si="11"/>
        <v>0.03597926558860283</v>
      </c>
    </row>
    <row r="18" spans="1:21" ht="12.75">
      <c r="A18" s="5">
        <v>16</v>
      </c>
      <c r="B18" s="6" t="str">
        <f t="shared" si="13"/>
        <v>Sunday</v>
      </c>
      <c r="C18" s="59"/>
      <c r="D18" s="17"/>
      <c r="E18" s="8" t="s">
        <v>24</v>
      </c>
      <c r="F18" s="6" t="s">
        <v>102</v>
      </c>
      <c r="G18" s="146" t="s">
        <v>287</v>
      </c>
      <c r="H18" s="9">
        <f t="shared" si="0"/>
        <v>12.053565632373065</v>
      </c>
      <c r="I18" s="9">
        <f t="shared" si="1"/>
        <v>6.161291750939131</v>
      </c>
      <c r="J18" s="9">
        <f t="shared" si="2"/>
        <v>0.2690178695051961</v>
      </c>
      <c r="K18" s="9">
        <f t="shared" si="3"/>
        <v>0.41129175093913106</v>
      </c>
      <c r="L18" s="9">
        <f t="shared" si="4"/>
        <v>0.553565632373066</v>
      </c>
      <c r="M18" s="9">
        <f t="shared" si="5"/>
        <v>0.6958395138070009</v>
      </c>
      <c r="N18" s="9">
        <f t="shared" si="6"/>
        <v>0.8381133952409359</v>
      </c>
      <c r="O18" s="9">
        <f t="shared" si="7"/>
        <v>0.9458395138070009</v>
      </c>
      <c r="P18" s="9">
        <f>sunrise(Location!$B$4,Location!$B$5,Location!$B$6,5,A18,Location!$B$7,IF(Location!$B$8="No",0,1))</f>
        <v>0.2690178695051961</v>
      </c>
      <c r="Q18" s="9">
        <f>sunset(Location!$B$4,Location!$B$5,Location!$B$6,5,A18,Location!$B$7,IF(Location!$B$8="No",0,1))</f>
        <v>0.8381133952409359</v>
      </c>
      <c r="R18" s="9">
        <f t="shared" si="8"/>
        <v>0.5690955257357397</v>
      </c>
      <c r="S18" s="10">
        <f t="shared" si="9"/>
        <v>0.04742462714464498</v>
      </c>
      <c r="T18" s="9">
        <f t="shared" si="10"/>
        <v>23.43090447426426</v>
      </c>
      <c r="U18" s="10">
        <f t="shared" si="11"/>
        <v>0.03590870618868835</v>
      </c>
    </row>
    <row r="19" spans="1:21" ht="12.75">
      <c r="A19" s="5">
        <v>17</v>
      </c>
      <c r="B19" s="6" t="str">
        <f t="shared" si="13"/>
        <v>Monday</v>
      </c>
      <c r="C19" s="59"/>
      <c r="D19" s="17" t="s">
        <v>40</v>
      </c>
      <c r="E19" s="8" t="s">
        <v>26</v>
      </c>
      <c r="F19" s="6" t="s">
        <v>103</v>
      </c>
      <c r="G19" s="148"/>
      <c r="H19" s="9">
        <f t="shared" si="0"/>
        <v>12.053583147609546</v>
      </c>
      <c r="I19" s="9">
        <f t="shared" si="1"/>
        <v>6.16110182635173</v>
      </c>
      <c r="J19" s="9">
        <f t="shared" si="2"/>
        <v>0.268620505093914</v>
      </c>
      <c r="K19" s="9">
        <f t="shared" si="3"/>
        <v>0.4111018263517295</v>
      </c>
      <c r="L19" s="9">
        <f t="shared" si="4"/>
        <v>0.553583147609545</v>
      </c>
      <c r="M19" s="9">
        <f t="shared" si="5"/>
        <v>0.6960644688673605</v>
      </c>
      <c r="N19" s="9">
        <f t="shared" si="6"/>
        <v>0.8385457901251759</v>
      </c>
      <c r="O19" s="9">
        <f t="shared" si="7"/>
        <v>0.9460644688673604</v>
      </c>
      <c r="P19" s="9">
        <f>sunrise(Location!$B$4,Location!$B$5,Location!$B$6,5,A19,Location!$B$7,IF(Location!$B$8="No",0,1))</f>
        <v>0.268620505093914</v>
      </c>
      <c r="Q19" s="9">
        <f>sunset(Location!$B$4,Location!$B$5,Location!$B$6,5,A19,Location!$B$7,IF(Location!$B$8="No",0,1))</f>
        <v>0.8385457901251759</v>
      </c>
      <c r="R19" s="9">
        <f t="shared" si="8"/>
        <v>0.5699252850312619</v>
      </c>
      <c r="S19" s="10">
        <f t="shared" si="9"/>
        <v>0.04749377375260516</v>
      </c>
      <c r="T19" s="9">
        <f t="shared" si="10"/>
        <v>23.43007471496874</v>
      </c>
      <c r="U19" s="10">
        <f t="shared" si="11"/>
        <v>0.03583955958072817</v>
      </c>
    </row>
    <row r="20" spans="1:21" ht="12.75">
      <c r="A20" s="5">
        <v>18</v>
      </c>
      <c r="B20" s="6" t="str">
        <f t="shared" si="13"/>
        <v>Tuesday</v>
      </c>
      <c r="C20" s="59"/>
      <c r="D20" s="17" t="s">
        <v>42</v>
      </c>
      <c r="E20" s="8" t="s">
        <v>29</v>
      </c>
      <c r="F20" s="6" t="s">
        <v>105</v>
      </c>
      <c r="G20" s="148"/>
      <c r="H20" s="9">
        <f t="shared" si="0"/>
        <v>12.053607017992407</v>
      </c>
      <c r="I20" s="9">
        <f t="shared" si="1"/>
        <v>6.160922605065495</v>
      </c>
      <c r="J20" s="9">
        <f t="shared" si="2"/>
        <v>0.268238192138582</v>
      </c>
      <c r="K20" s="9">
        <f t="shared" si="3"/>
        <v>0.41092260506549455</v>
      </c>
      <c r="L20" s="9">
        <f t="shared" si="4"/>
        <v>0.5536070179924071</v>
      </c>
      <c r="M20" s="9">
        <f t="shared" si="5"/>
        <v>0.6962914309193197</v>
      </c>
      <c r="N20" s="9">
        <f t="shared" si="6"/>
        <v>0.8389758438462322</v>
      </c>
      <c r="O20" s="9">
        <f t="shared" si="7"/>
        <v>0.9462914309193197</v>
      </c>
      <c r="P20" s="9">
        <f>sunrise(Location!$B$4,Location!$B$5,Location!$B$6,5,A20,Location!$B$7,IF(Location!$B$8="No",0,1))</f>
        <v>0.268238192138582</v>
      </c>
      <c r="Q20" s="9">
        <f>sunset(Location!$B$4,Location!$B$5,Location!$B$6,5,A20,Location!$B$7,IF(Location!$B$8="No",0,1))</f>
        <v>0.8389758438462322</v>
      </c>
      <c r="R20" s="9">
        <f t="shared" si="8"/>
        <v>0.5707376517076502</v>
      </c>
      <c r="S20" s="10">
        <f t="shared" si="9"/>
        <v>0.04756147097563752</v>
      </c>
      <c r="T20" s="9">
        <f t="shared" si="10"/>
        <v>23.42926234829235</v>
      </c>
      <c r="U20" s="10">
        <f t="shared" si="11"/>
        <v>0.03577186235769581</v>
      </c>
    </row>
    <row r="21" spans="1:21" ht="12.75">
      <c r="A21" s="5">
        <v>19</v>
      </c>
      <c r="B21" s="6" t="str">
        <f t="shared" si="13"/>
        <v>Wednesday</v>
      </c>
      <c r="C21" s="59"/>
      <c r="D21" s="17"/>
      <c r="E21" s="8" t="s">
        <v>32</v>
      </c>
      <c r="F21" s="6" t="s">
        <v>107</v>
      </c>
      <c r="G21" s="148" t="s">
        <v>236</v>
      </c>
      <c r="H21" s="9">
        <f t="shared" si="0"/>
        <v>12.05363717933992</v>
      </c>
      <c r="I21" s="9">
        <f t="shared" si="1"/>
        <v>6.160754132671773</v>
      </c>
      <c r="J21" s="9">
        <f t="shared" si="2"/>
        <v>0.2678710860036242</v>
      </c>
      <c r="K21" s="9">
        <f t="shared" si="3"/>
        <v>0.41075413267177285</v>
      </c>
      <c r="L21" s="9">
        <f t="shared" si="4"/>
        <v>0.5536371793399215</v>
      </c>
      <c r="M21" s="9">
        <f t="shared" si="5"/>
        <v>0.6965202260080703</v>
      </c>
      <c r="N21" s="9">
        <f t="shared" si="6"/>
        <v>0.839403272676219</v>
      </c>
      <c r="O21" s="9">
        <f t="shared" si="7"/>
        <v>0.9465202260080703</v>
      </c>
      <c r="P21" s="9">
        <f>sunrise(Location!$B$4,Location!$B$5,Location!$B$6,5,A21,Location!$B$7,IF(Location!$B$8="No",0,1))</f>
        <v>0.2678710860036242</v>
      </c>
      <c r="Q21" s="9">
        <f>sunset(Location!$B$4,Location!$B$5,Location!$B$6,5,A21,Location!$B$7,IF(Location!$B$8="No",0,1))</f>
        <v>0.839403272676219</v>
      </c>
      <c r="R21" s="9">
        <f t="shared" si="8"/>
        <v>0.5715321866725948</v>
      </c>
      <c r="S21" s="10">
        <f t="shared" si="9"/>
        <v>0.04762768222271623</v>
      </c>
      <c r="T21" s="9">
        <f t="shared" si="10"/>
        <v>23.428467813327405</v>
      </c>
      <c r="U21" s="10">
        <f t="shared" si="11"/>
        <v>0.0357056511106171</v>
      </c>
    </row>
    <row r="22" spans="1:21" ht="12.75">
      <c r="A22" s="5">
        <v>20</v>
      </c>
      <c r="B22" s="6" t="str">
        <f t="shared" si="13"/>
        <v>Thursday</v>
      </c>
      <c r="C22" s="59"/>
      <c r="D22" s="17" t="s">
        <v>45</v>
      </c>
      <c r="E22" s="8" t="s">
        <v>36</v>
      </c>
      <c r="F22" s="6" t="s">
        <v>108</v>
      </c>
      <c r="G22" s="144"/>
      <c r="H22" s="9">
        <f t="shared" si="0"/>
        <v>12.053673558116662</v>
      </c>
      <c r="I22" s="9">
        <f t="shared" si="1"/>
        <v>6.16059644523207</v>
      </c>
      <c r="J22" s="9">
        <f t="shared" si="2"/>
        <v>0.26751933234747827</v>
      </c>
      <c r="K22" s="9">
        <f t="shared" si="3"/>
        <v>0.4105964452320703</v>
      </c>
      <c r="L22" s="9">
        <f t="shared" si="4"/>
        <v>0.5536735581166623</v>
      </c>
      <c r="M22" s="9">
        <f t="shared" si="5"/>
        <v>0.6967506710012543</v>
      </c>
      <c r="N22" s="9">
        <f t="shared" si="6"/>
        <v>0.8398277838858463</v>
      </c>
      <c r="O22" s="9">
        <f t="shared" si="7"/>
        <v>0.9467506710012543</v>
      </c>
      <c r="P22" s="9">
        <f>sunrise(Location!$B$4,Location!$B$5,Location!$B$6,5,A22,Location!$B$7,IF(Location!$B$8="No",0,1))</f>
        <v>0.26751933234747827</v>
      </c>
      <c r="Q22" s="9">
        <f>sunset(Location!$B$4,Location!$B$5,Location!$B$6,5,A22,Location!$B$7,IF(Location!$B$8="No",0,1))</f>
        <v>0.8398277838858463</v>
      </c>
      <c r="R22" s="9">
        <f t="shared" si="8"/>
        <v>0.5723084515383681</v>
      </c>
      <c r="S22" s="10">
        <f t="shared" si="9"/>
        <v>0.04769237096153067</v>
      </c>
      <c r="T22" s="9">
        <f t="shared" si="10"/>
        <v>23.42769154846163</v>
      </c>
      <c r="U22" s="10">
        <f t="shared" si="11"/>
        <v>0.035640962371802656</v>
      </c>
    </row>
    <row r="23" spans="1:21" ht="12.75">
      <c r="A23" s="5">
        <v>21</v>
      </c>
      <c r="B23" s="6" t="str">
        <f t="shared" si="13"/>
        <v>Friday</v>
      </c>
      <c r="C23" s="59"/>
      <c r="D23" s="17"/>
      <c r="E23" s="8" t="s">
        <v>17</v>
      </c>
      <c r="F23" s="6" t="s">
        <v>110</v>
      </c>
      <c r="G23" s="144"/>
      <c r="H23" s="9">
        <f t="shared" si="0"/>
        <v>12.053716071442892</v>
      </c>
      <c r="I23" s="9">
        <f t="shared" si="1"/>
        <v>6.160449569109831</v>
      </c>
      <c r="J23" s="9">
        <f t="shared" si="2"/>
        <v>0.26718306677677056</v>
      </c>
      <c r="K23" s="9">
        <f t="shared" si="3"/>
        <v>0.41044956910983166</v>
      </c>
      <c r="L23" s="9">
        <f t="shared" si="4"/>
        <v>0.5537160714428928</v>
      </c>
      <c r="M23" s="9">
        <f t="shared" si="5"/>
        <v>0.696982573775954</v>
      </c>
      <c r="N23" s="9">
        <f t="shared" si="6"/>
        <v>0.8402490761090151</v>
      </c>
      <c r="O23" s="9">
        <f t="shared" si="7"/>
        <v>0.946982573775954</v>
      </c>
      <c r="P23" s="9">
        <f>sunrise(Location!$B$4,Location!$B$5,Location!$B$6,5,A23,Location!$B$7,IF(Location!$B$8="No",0,1))</f>
        <v>0.26718306677677056</v>
      </c>
      <c r="Q23" s="9">
        <f>sunset(Location!$B$4,Location!$B$5,Location!$B$6,5,A23,Location!$B$7,IF(Location!$B$8="No",0,1))</f>
        <v>0.8402490761090151</v>
      </c>
      <c r="R23" s="9">
        <f t="shared" si="8"/>
        <v>0.5730660093322446</v>
      </c>
      <c r="S23" s="10">
        <f t="shared" si="9"/>
        <v>0.04775550077768705</v>
      </c>
      <c r="T23" s="9">
        <f t="shared" si="10"/>
        <v>23.426933990667756</v>
      </c>
      <c r="U23" s="10">
        <f t="shared" si="11"/>
        <v>0.035577832555646276</v>
      </c>
    </row>
    <row r="24" spans="1:21" ht="12.75">
      <c r="A24" s="5">
        <v>22</v>
      </c>
      <c r="B24" s="6" t="str">
        <f aca="true" t="shared" si="14" ref="B24:B30">B3</f>
        <v>Saturday</v>
      </c>
      <c r="C24" s="59"/>
      <c r="D24" s="17" t="s">
        <v>48</v>
      </c>
      <c r="E24" s="8" t="s">
        <v>21</v>
      </c>
      <c r="F24" s="6" t="s">
        <v>111</v>
      </c>
      <c r="G24" s="144"/>
      <c r="H24" s="9">
        <f t="shared" si="0"/>
        <v>12.05376462712166</v>
      </c>
      <c r="I24" s="9">
        <f t="shared" si="1"/>
        <v>6.160313520813723</v>
      </c>
      <c r="J24" s="9">
        <f t="shared" si="2"/>
        <v>0.26686241450578674</v>
      </c>
      <c r="K24" s="9">
        <f t="shared" si="3"/>
        <v>0.4103135208137233</v>
      </c>
      <c r="L24" s="9">
        <f t="shared" si="4"/>
        <v>0.5537646271216599</v>
      </c>
      <c r="M24" s="9">
        <f t="shared" si="5"/>
        <v>0.6972157334295963</v>
      </c>
      <c r="N24" s="9">
        <f t="shared" si="6"/>
        <v>0.8406668397375329</v>
      </c>
      <c r="O24" s="9">
        <f t="shared" si="7"/>
        <v>0.9472157334295963</v>
      </c>
      <c r="P24" s="9">
        <f>sunrise(Location!$B$4,Location!$B$5,Location!$B$6,5,A24,Location!$B$7,IF(Location!$B$8="No",0,1))</f>
        <v>0.26686241450578674</v>
      </c>
      <c r="Q24" s="9">
        <f>sunset(Location!$B$4,Location!$B$5,Location!$B$6,5,A24,Location!$B$7,IF(Location!$B$8="No",0,1))</f>
        <v>0.8406668397375329</v>
      </c>
      <c r="R24" s="9">
        <f t="shared" si="8"/>
        <v>0.5738044252317461</v>
      </c>
      <c r="S24" s="10">
        <f t="shared" si="9"/>
        <v>0.047817035435978844</v>
      </c>
      <c r="T24" s="9">
        <f t="shared" si="10"/>
        <v>23.426195574768254</v>
      </c>
      <c r="U24" s="10">
        <f t="shared" si="11"/>
        <v>0.035516297897354485</v>
      </c>
    </row>
    <row r="25" spans="1:21" ht="12.75">
      <c r="A25" s="5">
        <v>23</v>
      </c>
      <c r="B25" s="6" t="str">
        <f t="shared" si="14"/>
        <v>Sunday</v>
      </c>
      <c r="C25" s="59"/>
      <c r="D25" s="17" t="s">
        <v>50</v>
      </c>
      <c r="E25" s="8" t="s">
        <v>24</v>
      </c>
      <c r="F25" s="6" t="s">
        <v>112</v>
      </c>
      <c r="G25" s="143" t="s">
        <v>284</v>
      </c>
      <c r="H25" s="9">
        <f t="shared" si="0"/>
        <v>12.053819123684614</v>
      </c>
      <c r="I25" s="9">
        <f t="shared" si="1"/>
        <v>6.160188306853998</v>
      </c>
      <c r="J25" s="9">
        <f t="shared" si="2"/>
        <v>0.2665574900233817</v>
      </c>
      <c r="K25" s="9">
        <f t="shared" si="3"/>
        <v>0.4101883068539972</v>
      </c>
      <c r="L25" s="9">
        <f t="shared" si="4"/>
        <v>0.5538191236846127</v>
      </c>
      <c r="M25" s="9">
        <f t="shared" si="5"/>
        <v>0.6974499405152282</v>
      </c>
      <c r="N25" s="9">
        <f t="shared" si="6"/>
        <v>0.8410807573458438</v>
      </c>
      <c r="O25" s="9">
        <f t="shared" si="7"/>
        <v>0.9474499405152282</v>
      </c>
      <c r="P25" s="9">
        <f>sunrise(Location!$B$4,Location!$B$5,Location!$B$6,5,A25,Location!$B$7,IF(Location!$B$8="No",0,1))</f>
        <v>0.2665574900233817</v>
      </c>
      <c r="Q25" s="9">
        <f>sunset(Location!$B$4,Location!$B$5,Location!$B$6,5,A25,Location!$B$7,IF(Location!$B$8="No",0,1))</f>
        <v>0.8410807573458438</v>
      </c>
      <c r="R25" s="9">
        <f t="shared" si="8"/>
        <v>0.5745232673224621</v>
      </c>
      <c r="S25" s="10">
        <f t="shared" si="9"/>
        <v>0.047876938943538505</v>
      </c>
      <c r="T25" s="9">
        <f t="shared" si="10"/>
        <v>23.425476732677538</v>
      </c>
      <c r="U25" s="10">
        <f t="shared" si="11"/>
        <v>0.035456394389794824</v>
      </c>
    </row>
    <row r="26" spans="1:21" ht="12.75">
      <c r="A26" s="5">
        <v>24</v>
      </c>
      <c r="B26" s="6" t="str">
        <f t="shared" si="14"/>
        <v>Monday</v>
      </c>
      <c r="C26" s="59"/>
      <c r="D26" s="17"/>
      <c r="E26" s="8" t="s">
        <v>26</v>
      </c>
      <c r="F26" s="6" t="s">
        <v>113</v>
      </c>
      <c r="G26" s="144"/>
      <c r="H26" s="9">
        <f t="shared" si="0"/>
        <v>12.053879450455435</v>
      </c>
      <c r="I26" s="9">
        <f t="shared" si="1"/>
        <v>6.160073923610977</v>
      </c>
      <c r="J26" s="9">
        <f t="shared" si="2"/>
        <v>0.2662683967665178</v>
      </c>
      <c r="K26" s="9">
        <f t="shared" si="3"/>
        <v>0.4100739236109766</v>
      </c>
      <c r="L26" s="9">
        <f t="shared" si="4"/>
        <v>0.5538794504554354</v>
      </c>
      <c r="M26" s="9">
        <f t="shared" si="5"/>
        <v>0.6976849772998943</v>
      </c>
      <c r="N26" s="9">
        <f t="shared" si="6"/>
        <v>0.8414905041443531</v>
      </c>
      <c r="O26" s="9">
        <f t="shared" si="7"/>
        <v>0.9476849772998943</v>
      </c>
      <c r="P26" s="9">
        <f>sunrise(Location!$B$4,Location!$B$5,Location!$B$6,5,A26,Location!$B$7,IF(Location!$B$8="No",0,1))</f>
        <v>0.2662683967665178</v>
      </c>
      <c r="Q26" s="9">
        <f>sunset(Location!$B$4,Location!$B$5,Location!$B$6,5,A26,Location!$B$7,IF(Location!$B$8="No",0,1))</f>
        <v>0.8414905041443531</v>
      </c>
      <c r="R26" s="9">
        <f t="shared" si="8"/>
        <v>0.5752221073778353</v>
      </c>
      <c r="S26" s="10">
        <f t="shared" si="9"/>
        <v>0.04793517561481961</v>
      </c>
      <c r="T26" s="9">
        <f t="shared" si="10"/>
        <v>23.424777892622163</v>
      </c>
      <c r="U26" s="10">
        <f t="shared" si="11"/>
        <v>0.03539815771851372</v>
      </c>
    </row>
    <row r="27" spans="1:21" ht="12.75">
      <c r="A27" s="5">
        <v>25</v>
      </c>
      <c r="B27" s="6" t="str">
        <f t="shared" si="14"/>
        <v>Tuesday</v>
      </c>
      <c r="C27" s="59"/>
      <c r="D27" s="17" t="s">
        <v>53</v>
      </c>
      <c r="E27" s="8" t="s">
        <v>29</v>
      </c>
      <c r="F27" s="6" t="s">
        <v>114</v>
      </c>
      <c r="G27" s="144" t="s">
        <v>129</v>
      </c>
      <c r="H27" s="9">
        <f t="shared" si="0"/>
        <v>12.053945487633797</v>
      </c>
      <c r="I27" s="9">
        <f t="shared" si="1"/>
        <v>6.159970357219008</v>
      </c>
      <c r="J27" s="9">
        <f t="shared" si="2"/>
        <v>0.2659952268042189</v>
      </c>
      <c r="K27" s="9">
        <f t="shared" si="3"/>
        <v>0.4099703572190082</v>
      </c>
      <c r="L27" s="9">
        <f t="shared" si="4"/>
        <v>0.5539454876337975</v>
      </c>
      <c r="M27" s="9">
        <f t="shared" si="5"/>
        <v>0.6979206180485868</v>
      </c>
      <c r="N27" s="9">
        <f t="shared" si="6"/>
        <v>0.8418957484633762</v>
      </c>
      <c r="O27" s="9">
        <f t="shared" si="7"/>
        <v>0.9479206180485868</v>
      </c>
      <c r="P27" s="9">
        <f>sunrise(Location!$B$4,Location!$B$5,Location!$B$6,5,A27,Location!$B$7,IF(Location!$B$8="No",0,1))</f>
        <v>0.2659952268042189</v>
      </c>
      <c r="Q27" s="9">
        <f>sunset(Location!$B$4,Location!$B$5,Location!$B$6,5,A27,Location!$B$7,IF(Location!$B$8="No",0,1))</f>
        <v>0.8418957484633762</v>
      </c>
      <c r="R27" s="9">
        <f t="shared" si="8"/>
        <v>0.5759005216591573</v>
      </c>
      <c r="S27" s="10">
        <f t="shared" si="9"/>
        <v>0.04799171013826311</v>
      </c>
      <c r="T27" s="9">
        <f t="shared" si="10"/>
        <v>23.424099478340842</v>
      </c>
      <c r="U27" s="10">
        <f t="shared" si="11"/>
        <v>0.03534162319507022</v>
      </c>
    </row>
    <row r="28" spans="1:21" ht="12.75">
      <c r="A28" s="5">
        <v>26</v>
      </c>
      <c r="B28" s="6" t="str">
        <f t="shared" si="14"/>
        <v>Wednesday</v>
      </c>
      <c r="C28" s="59"/>
      <c r="D28" s="17" t="s">
        <v>55</v>
      </c>
      <c r="E28" s="8" t="s">
        <v>32</v>
      </c>
      <c r="F28" s="6" t="s">
        <v>116</v>
      </c>
      <c r="G28" s="146" t="s">
        <v>320</v>
      </c>
      <c r="H28" s="9">
        <f t="shared" si="0"/>
        <v>12.054017106396413</v>
      </c>
      <c r="I28" s="9">
        <f t="shared" si="1"/>
        <v>6.159877583463569</v>
      </c>
      <c r="J28" s="9">
        <f t="shared" si="2"/>
        <v>0.2657380605307251</v>
      </c>
      <c r="K28" s="9">
        <f t="shared" si="3"/>
        <v>0.40987758346356884</v>
      </c>
      <c r="L28" s="9">
        <f t="shared" si="4"/>
        <v>0.5540171063964126</v>
      </c>
      <c r="M28" s="9">
        <f t="shared" si="5"/>
        <v>0.6981566293292564</v>
      </c>
      <c r="N28" s="9">
        <f t="shared" si="6"/>
        <v>0.8422961522621002</v>
      </c>
      <c r="O28" s="9">
        <f t="shared" si="7"/>
        <v>0.9481566293292564</v>
      </c>
      <c r="P28" s="9">
        <f>sunrise(Location!$B$4,Location!$B$5,Location!$B$6,5,A28,Location!$B$7,IF(Location!$B$8="No",0,1))</f>
        <v>0.2657380605307251</v>
      </c>
      <c r="Q28" s="9">
        <f>sunset(Location!$B$4,Location!$B$5,Location!$B$6,5,A28,Location!$B$7,IF(Location!$B$8="No",0,1))</f>
        <v>0.8422961522621002</v>
      </c>
      <c r="R28" s="9">
        <f t="shared" si="8"/>
        <v>0.5765580917313751</v>
      </c>
      <c r="S28" s="10">
        <f t="shared" si="9"/>
        <v>0.048046507644281256</v>
      </c>
      <c r="T28" s="9">
        <f t="shared" si="10"/>
        <v>23.423441908268625</v>
      </c>
      <c r="U28" s="10">
        <f t="shared" si="11"/>
        <v>0.03528682568905207</v>
      </c>
    </row>
    <row r="29" spans="1:21" ht="12.75">
      <c r="A29" s="5">
        <v>27</v>
      </c>
      <c r="B29" s="6" t="str">
        <f t="shared" si="14"/>
        <v>Thursday</v>
      </c>
      <c r="C29" s="59"/>
      <c r="D29" s="7"/>
      <c r="E29" s="8" t="s">
        <v>36</v>
      </c>
      <c r="F29" s="6" t="s">
        <v>117</v>
      </c>
      <c r="G29" s="149"/>
      <c r="H29" s="9">
        <f t="shared" si="0"/>
        <v>12.05409416901906</v>
      </c>
      <c r="I29" s="9">
        <f t="shared" si="1"/>
        <v>6.1597955676957765</v>
      </c>
      <c r="J29" s="9">
        <f t="shared" si="2"/>
        <v>0.2654969663724944</v>
      </c>
      <c r="K29" s="9">
        <f t="shared" si="3"/>
        <v>0.40979556769577696</v>
      </c>
      <c r="L29" s="9">
        <f t="shared" si="4"/>
        <v>0.5540941690190595</v>
      </c>
      <c r="M29" s="9">
        <f t="shared" si="5"/>
        <v>0.698392770342342</v>
      </c>
      <c r="N29" s="9">
        <f t="shared" si="6"/>
        <v>0.8426913716656245</v>
      </c>
      <c r="O29" s="9">
        <f t="shared" si="7"/>
        <v>0.9483927703423419</v>
      </c>
      <c r="P29" s="9">
        <f>sunrise(Location!$B$4,Location!$B$5,Location!$B$6,5,A29,Location!$B$7,IF(Location!$B$8="No",0,1))</f>
        <v>0.2654969663724944</v>
      </c>
      <c r="Q29" s="9">
        <f>sunset(Location!$B$4,Location!$B$5,Location!$B$6,5,A29,Location!$B$7,IF(Location!$B$8="No",0,1))</f>
        <v>0.8426913716656245</v>
      </c>
      <c r="R29" s="9">
        <f t="shared" si="8"/>
        <v>0.57719440529313</v>
      </c>
      <c r="S29" s="10">
        <f t="shared" si="9"/>
        <v>0.0480995337744275</v>
      </c>
      <c r="T29" s="9">
        <f t="shared" si="10"/>
        <v>23.42280559470687</v>
      </c>
      <c r="U29" s="10">
        <f t="shared" si="11"/>
        <v>0.03523379955890583</v>
      </c>
    </row>
    <row r="30" spans="1:21" ht="12.75">
      <c r="A30" s="5">
        <v>28</v>
      </c>
      <c r="B30" s="6" t="str">
        <f t="shared" si="14"/>
        <v>Friday</v>
      </c>
      <c r="C30" s="59"/>
      <c r="D30" s="95" t="s">
        <v>59</v>
      </c>
      <c r="E30" s="8" t="s">
        <v>17</v>
      </c>
      <c r="F30" s="6" t="s">
        <v>118</v>
      </c>
      <c r="G30" s="146" t="s">
        <v>211</v>
      </c>
      <c r="H30" s="9">
        <f t="shared" si="0"/>
        <v>12.054176529016882</v>
      </c>
      <c r="I30" s="9">
        <f t="shared" si="1"/>
        <v>6.159724264762199</v>
      </c>
      <c r="J30" s="9">
        <f t="shared" si="2"/>
        <v>0.2652720005075158</v>
      </c>
      <c r="K30" s="9">
        <f t="shared" si="3"/>
        <v>0.4097242647621989</v>
      </c>
      <c r="L30" s="9">
        <f t="shared" si="4"/>
        <v>0.5541765290168821</v>
      </c>
      <c r="M30" s="9">
        <f t="shared" si="5"/>
        <v>0.6986287932715652</v>
      </c>
      <c r="N30" s="9">
        <f t="shared" si="6"/>
        <v>0.8430810575262484</v>
      </c>
      <c r="O30" s="9">
        <f t="shared" si="7"/>
        <v>0.9486287932715652</v>
      </c>
      <c r="P30" s="9">
        <f>sunrise(Location!$B$4,Location!$B$5,Location!$B$6,5,A30,Location!$B$7,IF(Location!$B$8="No",0,1))</f>
        <v>0.2652720005075158</v>
      </c>
      <c r="Q30" s="9">
        <f>sunset(Location!$B$4,Location!$B$5,Location!$B$6,5,A30,Location!$B$7,IF(Location!$B$8="No",0,1))</f>
        <v>0.8430810575262484</v>
      </c>
      <c r="R30" s="9">
        <f t="shared" si="8"/>
        <v>0.5778090570187326</v>
      </c>
      <c r="S30" s="10">
        <f t="shared" si="9"/>
        <v>0.04815075475156105</v>
      </c>
      <c r="T30" s="9">
        <f t="shared" si="10"/>
        <v>23.422190942981267</v>
      </c>
      <c r="U30" s="10">
        <f t="shared" si="11"/>
        <v>0.035182578581772275</v>
      </c>
    </row>
    <row r="31" spans="1:21" ht="12.75">
      <c r="A31" s="5">
        <v>29</v>
      </c>
      <c r="B31" s="6" t="str">
        <f>B3</f>
        <v>Saturday</v>
      </c>
      <c r="C31" s="59"/>
      <c r="D31" s="95" t="s">
        <v>61</v>
      </c>
      <c r="E31" s="8" t="s">
        <v>21</v>
      </c>
      <c r="F31" s="6" t="s">
        <v>119</v>
      </c>
      <c r="G31" s="146" t="s">
        <v>211</v>
      </c>
      <c r="H31" s="9">
        <f t="shared" si="0"/>
        <v>12.054264031304518</v>
      </c>
      <c r="I31" s="9">
        <f t="shared" si="1"/>
        <v>6.159663618952441</v>
      </c>
      <c r="J31" s="9">
        <f t="shared" si="2"/>
        <v>0.265063206600365</v>
      </c>
      <c r="K31" s="9">
        <f t="shared" si="3"/>
        <v>0.40966361895244163</v>
      </c>
      <c r="L31" s="9">
        <f t="shared" si="4"/>
        <v>0.5542640313045183</v>
      </c>
      <c r="M31" s="9">
        <f t="shared" si="5"/>
        <v>0.698864443656595</v>
      </c>
      <c r="N31" s="9">
        <f t="shared" si="6"/>
        <v>0.8434648560086716</v>
      </c>
      <c r="O31" s="9">
        <f t="shared" si="7"/>
        <v>0.948864443656595</v>
      </c>
      <c r="P31" s="9">
        <f>sunrise(Location!$B$4,Location!$B$5,Location!$B$6,5,A31,Location!$B$7,IF(Location!$B$8="No",0,1))</f>
        <v>0.265063206600365</v>
      </c>
      <c r="Q31" s="9">
        <f>sunset(Location!$B$4,Location!$B$5,Location!$B$6,5,A31,Location!$B$7,IF(Location!$B$8="No",0,1))</f>
        <v>0.8434648560086716</v>
      </c>
      <c r="R31" s="9">
        <f t="shared" si="8"/>
        <v>0.5784016494083066</v>
      </c>
      <c r="S31" s="10">
        <f t="shared" si="9"/>
        <v>0.04820013745069222</v>
      </c>
      <c r="T31" s="9">
        <f t="shared" si="10"/>
        <v>23.421598350591694</v>
      </c>
      <c r="U31" s="10">
        <f t="shared" si="11"/>
        <v>0.03513319588264111</v>
      </c>
    </row>
    <row r="32" spans="1:21" ht="12.75">
      <c r="A32" s="5">
        <v>30</v>
      </c>
      <c r="B32" s="6" t="str">
        <f>B4</f>
        <v>Sunday</v>
      </c>
      <c r="C32" s="59"/>
      <c r="D32" s="7"/>
      <c r="E32" s="8" t="s">
        <v>24</v>
      </c>
      <c r="F32" s="6" t="s">
        <v>120</v>
      </c>
      <c r="G32" s="146" t="s">
        <v>202</v>
      </c>
      <c r="H32" s="9">
        <f t="shared" si="0"/>
        <v>12.054356512375186</v>
      </c>
      <c r="I32" s="9">
        <f t="shared" si="1"/>
        <v>6.159613563964419</v>
      </c>
      <c r="J32" s="9">
        <f t="shared" si="2"/>
        <v>0.26487061555365293</v>
      </c>
      <c r="K32" s="9">
        <f t="shared" si="3"/>
        <v>0.40961356396441906</v>
      </c>
      <c r="L32" s="9">
        <f t="shared" si="4"/>
        <v>0.5543565123751852</v>
      </c>
      <c r="M32" s="9">
        <f t="shared" si="5"/>
        <v>0.6990994607859515</v>
      </c>
      <c r="N32" s="9">
        <f t="shared" si="6"/>
        <v>0.8438424091967177</v>
      </c>
      <c r="O32" s="9">
        <f t="shared" si="7"/>
        <v>0.9490994607859515</v>
      </c>
      <c r="P32" s="9">
        <f>sunrise(Location!$B$4,Location!$B$5,Location!$B$6,5,A32,Location!$B$7,IF(Location!$B$8="No",0,1))</f>
        <v>0.26487061555365293</v>
      </c>
      <c r="Q32" s="9">
        <f>sunset(Location!$B$4,Location!$B$5,Location!$B$6,5,A32,Location!$B$7,IF(Location!$B$8="No",0,1))</f>
        <v>0.8438424091967177</v>
      </c>
      <c r="R32" s="9">
        <f t="shared" si="8"/>
        <v>0.5789717936430647</v>
      </c>
      <c r="S32" s="10">
        <f t="shared" si="9"/>
        <v>0.048247649470255394</v>
      </c>
      <c r="T32" s="9">
        <f t="shared" si="10"/>
        <v>23.421028206356937</v>
      </c>
      <c r="U32" s="10">
        <f t="shared" si="11"/>
        <v>0.035085683863077935</v>
      </c>
    </row>
    <row r="33" spans="1:21" ht="12.75">
      <c r="A33" s="5">
        <v>31</v>
      </c>
      <c r="B33" s="6" t="str">
        <f>B5</f>
        <v>Monday</v>
      </c>
      <c r="C33" s="59"/>
      <c r="D33" s="7"/>
      <c r="E33" s="8" t="s">
        <v>26</v>
      </c>
      <c r="F33" s="6" t="s">
        <v>78</v>
      </c>
      <c r="G33" s="144" t="s">
        <v>130</v>
      </c>
      <c r="H33" s="9">
        <f t="shared" si="0"/>
        <v>12.054453800499253</v>
      </c>
      <c r="I33" s="9">
        <f t="shared" si="1"/>
        <v>6.1595740228885285</v>
      </c>
      <c r="J33" s="9">
        <f t="shared" si="2"/>
        <v>0.26469424527780405</v>
      </c>
      <c r="K33" s="9">
        <f t="shared" si="3"/>
        <v>0.409574022888528</v>
      </c>
      <c r="L33" s="9">
        <f t="shared" si="4"/>
        <v>0.554453800499252</v>
      </c>
      <c r="M33" s="9">
        <f t="shared" si="5"/>
        <v>0.6993335781099759</v>
      </c>
      <c r="N33" s="9">
        <f t="shared" si="6"/>
        <v>0.8442133557206999</v>
      </c>
      <c r="O33" s="9">
        <f t="shared" si="7"/>
        <v>0.9493335781099759</v>
      </c>
      <c r="P33" s="9">
        <f>sunrise(Location!$B$4,Location!$B$5,Location!$B$6,5,A33,Location!$B$7,IF(Location!$B$8="No",0,1))</f>
        <v>0.26469424527780405</v>
      </c>
      <c r="Q33" s="9">
        <f>sunset(Location!$B$4,Location!$B$5,Location!$B$6,5,A33,Location!$B$7,IF(Location!$B$8="No",0,1))</f>
        <v>0.8442133557206999</v>
      </c>
      <c r="R33" s="9">
        <f t="shared" si="8"/>
        <v>0.5795191104428958</v>
      </c>
      <c r="S33" s="10">
        <f t="shared" si="9"/>
        <v>0.048293259203574655</v>
      </c>
      <c r="T33" s="9">
        <f t="shared" si="10"/>
        <v>23.420480889557105</v>
      </c>
      <c r="U33" s="10">
        <f t="shared" si="11"/>
        <v>0.035040074129758673</v>
      </c>
    </row>
    <row r="34" ht="12.75">
      <c r="B34" s="6"/>
    </row>
    <row r="35" ht="12.75">
      <c r="A35" s="6"/>
    </row>
    <row r="37" spans="3:5" ht="12.75">
      <c r="C37" s="58" t="str">
        <f>IF(Location!B9="No",Location!C13,Location!C14)</f>
        <v>C</v>
      </c>
      <c r="D37" s="52"/>
      <c r="E37" s="11"/>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U37"/>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176</v>
      </c>
      <c r="B1" s="122"/>
      <c r="C1" s="127"/>
      <c r="D1" s="123" t="str">
        <f>ROMAN(Location!$B$6)</f>
        <v>MMX</v>
      </c>
      <c r="E1" s="122"/>
      <c r="F1" s="122"/>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Maius!B27</f>
        <v>Tuesday</v>
      </c>
      <c r="C3" s="59"/>
      <c r="D3" s="95" t="s">
        <v>67</v>
      </c>
      <c r="E3" s="8" t="s">
        <v>29</v>
      </c>
      <c r="F3" s="6" t="s">
        <v>18</v>
      </c>
      <c r="G3" s="46" t="s">
        <v>133</v>
      </c>
      <c r="H3" s="9">
        <f aca="true" t="shared" si="0" ref="H3:H32">(T3/2)+Q3-"12:00:00"</f>
        <v>12.054555715941262</v>
      </c>
      <c r="I3" s="9">
        <f aca="true" t="shared" si="1" ref="I3:I32">H3+((J3-H3)/2)</f>
        <v>6.1595449082106715</v>
      </c>
      <c r="J3" s="9">
        <f aca="true" t="shared" si="2" ref="J3:J32">P3</f>
        <v>0.2645341004800814</v>
      </c>
      <c r="K3" s="9">
        <f aca="true" t="shared" si="3" ref="K3:K32">J3+((L3-J3)/2)</f>
        <v>0.4095449082106717</v>
      </c>
      <c r="L3" s="9">
        <f aca="true" t="shared" si="4" ref="L3:L32">(R3/2)+J3</f>
        <v>0.554555715941262</v>
      </c>
      <c r="M3" s="9">
        <f aca="true" t="shared" si="5" ref="M3:M32">((N3-L3)/2)+L3</f>
        <v>0.6995665236718522</v>
      </c>
      <c r="N3" s="9">
        <f aca="true" t="shared" si="6" ref="N3:N32">Q3</f>
        <v>0.8445773314024426</v>
      </c>
      <c r="O3" s="9">
        <f aca="true" t="shared" si="7" ref="O3:O32">3*U3+N3</f>
        <v>0.9495665236718522</v>
      </c>
      <c r="P3" s="9">
        <f>sunrise(Location!$B$4,Location!$B$5,Location!$B$6,6,A3,Location!$B$7,IF(Location!$B$8="No",0,1))</f>
        <v>0.2645341004800814</v>
      </c>
      <c r="Q3" s="9">
        <f>sunset(Location!$B$4,Location!$B$5,Location!$B$6,6,A3,Location!$B$7,IF(Location!$B$8="No",0,1))</f>
        <v>0.8445773314024426</v>
      </c>
      <c r="R3" s="9">
        <f aca="true" t="shared" si="8" ref="R3:R32">Q3-P3</f>
        <v>0.5800432309223612</v>
      </c>
      <c r="S3" s="10">
        <f aca="true" t="shared" si="9" ref="S3:S32">R3/12</f>
        <v>0.04833693591019677</v>
      </c>
      <c r="T3" s="9">
        <f aca="true" t="shared" si="10" ref="T3:T32">(24-(Q3-P3))</f>
        <v>23.41995676907764</v>
      </c>
      <c r="U3" s="10">
        <f aca="true" t="shared" si="11" ref="U3:U32">"1:00:00"-S3+"1:00:00"</f>
        <v>0.03499639742313656</v>
      </c>
    </row>
    <row r="4" spans="1:21" ht="12.75">
      <c r="A4" s="5">
        <v>2</v>
      </c>
      <c r="B4" s="6" t="str">
        <f>Maius!B28</f>
        <v>Wednesday</v>
      </c>
      <c r="C4" s="59"/>
      <c r="D4" s="95" t="s">
        <v>69</v>
      </c>
      <c r="E4" s="8" t="s">
        <v>32</v>
      </c>
      <c r="F4" s="6" t="s">
        <v>93</v>
      </c>
      <c r="G4" s="132"/>
      <c r="H4" s="9">
        <f t="shared" si="0"/>
        <v>12.054662071196136</v>
      </c>
      <c r="I4" s="9">
        <f t="shared" si="1"/>
        <v>6.159526121835733</v>
      </c>
      <c r="J4" s="9">
        <f t="shared" si="2"/>
        <v>0.2643901724753312</v>
      </c>
      <c r="K4" s="9">
        <f t="shared" si="3"/>
        <v>0.40952612183573356</v>
      </c>
      <c r="L4" s="9">
        <f t="shared" si="4"/>
        <v>0.5546620711961359</v>
      </c>
      <c r="M4" s="9">
        <f t="shared" si="5"/>
        <v>0.6997980205565382</v>
      </c>
      <c r="N4" s="9">
        <f t="shared" si="6"/>
        <v>0.8449339699169406</v>
      </c>
      <c r="O4" s="9">
        <f t="shared" si="7"/>
        <v>0.9497980205565382</v>
      </c>
      <c r="P4" s="9">
        <f>sunrise(Location!$B$4,Location!$B$5,Location!$B$6,6,A4,Location!$B$7,IF(Location!$B$8="No",0,1))</f>
        <v>0.2643901724753312</v>
      </c>
      <c r="Q4" s="9">
        <f>sunset(Location!$B$4,Location!$B$5,Location!$B$6,6,A4,Location!$B$7,IF(Location!$B$8="No",0,1))</f>
        <v>0.8449339699169406</v>
      </c>
      <c r="R4" s="9">
        <f t="shared" si="8"/>
        <v>0.5805437974416094</v>
      </c>
      <c r="S4" s="10">
        <f t="shared" si="9"/>
        <v>0.04837864978680079</v>
      </c>
      <c r="T4" s="9">
        <f t="shared" si="10"/>
        <v>23.41945620255839</v>
      </c>
      <c r="U4" s="10">
        <f t="shared" si="11"/>
        <v>0.03495468354653254</v>
      </c>
    </row>
    <row r="5" spans="1:21" ht="12.75">
      <c r="A5" s="5">
        <v>3</v>
      </c>
      <c r="B5" s="6" t="str">
        <f>Maius!B29</f>
        <v>Thursday</v>
      </c>
      <c r="C5" s="59"/>
      <c r="D5" s="7"/>
      <c r="E5" s="8" t="s">
        <v>36</v>
      </c>
      <c r="F5" s="6" t="s">
        <v>94</v>
      </c>
      <c r="G5" s="146" t="s">
        <v>203</v>
      </c>
      <c r="H5" s="9">
        <f t="shared" si="0"/>
        <v>12.054772671243295</v>
      </c>
      <c r="I5" s="9">
        <f t="shared" si="1"/>
        <v>6.159517555131287</v>
      </c>
      <c r="J5" s="9">
        <f t="shared" si="2"/>
        <v>0.2642624390192786</v>
      </c>
      <c r="K5" s="9">
        <f t="shared" si="3"/>
        <v>0.4095175551312877</v>
      </c>
      <c r="L5" s="9">
        <f t="shared" si="4"/>
        <v>0.5547726712432968</v>
      </c>
      <c r="M5" s="9">
        <f t="shared" si="5"/>
        <v>0.7000277873553059</v>
      </c>
      <c r="N5" s="9">
        <f t="shared" si="6"/>
        <v>0.845282903467315</v>
      </c>
      <c r="O5" s="9">
        <f t="shared" si="7"/>
        <v>0.9500277873553059</v>
      </c>
      <c r="P5" s="9">
        <f>sunrise(Location!$B$4,Location!$B$5,Location!$B$6,6,A5,Location!$B$7,IF(Location!$B$8="No",0,1))</f>
        <v>0.2642624390192786</v>
      </c>
      <c r="Q5" s="9">
        <f>sunset(Location!$B$4,Location!$B$5,Location!$B$6,6,A5,Location!$B$7,IF(Location!$B$8="No",0,1))</f>
        <v>0.845282903467315</v>
      </c>
      <c r="R5" s="9">
        <f t="shared" si="8"/>
        <v>0.5810204644480365</v>
      </c>
      <c r="S5" s="10">
        <f t="shared" si="9"/>
        <v>0.04841837203733637</v>
      </c>
      <c r="T5" s="9">
        <f t="shared" si="10"/>
        <v>23.418979535551962</v>
      </c>
      <c r="U5" s="10">
        <f t="shared" si="11"/>
        <v>0.03491496129599696</v>
      </c>
    </row>
    <row r="6" spans="1:21" ht="12.75">
      <c r="A6" s="5">
        <v>4</v>
      </c>
      <c r="B6" s="6" t="str">
        <f>Maius!B30</f>
        <v>Friday</v>
      </c>
      <c r="C6" s="59"/>
      <c r="D6" s="95" t="s">
        <v>72</v>
      </c>
      <c r="E6" s="8" t="s">
        <v>17</v>
      </c>
      <c r="F6" s="6" t="s">
        <v>27</v>
      </c>
      <c r="G6" s="132"/>
      <c r="H6" s="9">
        <f t="shared" si="0"/>
        <v>12.054887313818767</v>
      </c>
      <c r="I6" s="9">
        <f t="shared" si="1"/>
        <v>6.159519088992084</v>
      </c>
      <c r="J6" s="9">
        <f t="shared" si="2"/>
        <v>0.264150864165401</v>
      </c>
      <c r="K6" s="9">
        <f t="shared" si="3"/>
        <v>0.409519088992084</v>
      </c>
      <c r="L6" s="9">
        <f t="shared" si="4"/>
        <v>0.554887313818767</v>
      </c>
      <c r="M6" s="9">
        <f t="shared" si="5"/>
        <v>0.70025553864545</v>
      </c>
      <c r="N6" s="9">
        <f t="shared" si="6"/>
        <v>0.845623763472133</v>
      </c>
      <c r="O6" s="9">
        <f t="shared" si="7"/>
        <v>0.95025553864545</v>
      </c>
      <c r="P6" s="9">
        <f>sunrise(Location!$B$4,Location!$B$5,Location!$B$6,6,A6,Location!$B$7,IF(Location!$B$8="No",0,1))</f>
        <v>0.264150864165401</v>
      </c>
      <c r="Q6" s="9">
        <f>sunset(Location!$B$4,Location!$B$5,Location!$B$6,6,A6,Location!$B$7,IF(Location!$B$8="No",0,1))</f>
        <v>0.845623763472133</v>
      </c>
      <c r="R6" s="9">
        <f t="shared" si="8"/>
        <v>0.581472899306732</v>
      </c>
      <c r="S6" s="10">
        <f t="shared" si="9"/>
        <v>0.048456074942227666</v>
      </c>
      <c r="T6" s="9">
        <f t="shared" si="10"/>
        <v>23.418527100693268</v>
      </c>
      <c r="U6" s="10">
        <f t="shared" si="11"/>
        <v>0.03487725839110566</v>
      </c>
    </row>
    <row r="7" spans="1:21" ht="12.75">
      <c r="A7" s="5">
        <v>5</v>
      </c>
      <c r="B7" s="6" t="str">
        <f>Maius!B10</f>
        <v>Saturday</v>
      </c>
      <c r="C7" s="59"/>
      <c r="D7" s="95" t="s">
        <v>75</v>
      </c>
      <c r="E7" s="8" t="s">
        <v>21</v>
      </c>
      <c r="F7" s="6" t="s">
        <v>30</v>
      </c>
      <c r="G7" s="47" t="s">
        <v>208</v>
      </c>
      <c r="H7" s="9">
        <f t="shared" si="0"/>
        <v>12.05500578970486</v>
      </c>
      <c r="I7" s="9">
        <f t="shared" si="1"/>
        <v>6.159530593926431</v>
      </c>
      <c r="J7" s="9">
        <f t="shared" si="2"/>
        <v>0.2640553981480017</v>
      </c>
      <c r="K7" s="9">
        <f t="shared" si="3"/>
        <v>0.40953059392643026</v>
      </c>
      <c r="L7" s="9">
        <f t="shared" si="4"/>
        <v>0.5550057897048588</v>
      </c>
      <c r="M7" s="9">
        <f t="shared" si="5"/>
        <v>0.7004809854832874</v>
      </c>
      <c r="N7" s="9">
        <f t="shared" si="6"/>
        <v>0.8459561812617159</v>
      </c>
      <c r="O7" s="9">
        <f t="shared" si="7"/>
        <v>0.9504809854832874</v>
      </c>
      <c r="P7" s="9">
        <f>sunrise(Location!$B$4,Location!$B$5,Location!$B$6,6,A7,Location!$B$7,IF(Location!$B$8="No",0,1))</f>
        <v>0.2640553981480017</v>
      </c>
      <c r="Q7" s="9">
        <f>sunset(Location!$B$4,Location!$B$5,Location!$B$6,6,A7,Location!$B$7,IF(Location!$B$8="No",0,1))</f>
        <v>0.8459561812617159</v>
      </c>
      <c r="R7" s="9">
        <f t="shared" si="8"/>
        <v>0.5819007831137142</v>
      </c>
      <c r="S7" s="10">
        <f t="shared" si="9"/>
        <v>0.048491731926142846</v>
      </c>
      <c r="T7" s="9">
        <f t="shared" si="10"/>
        <v>23.418099216886286</v>
      </c>
      <c r="U7" s="10">
        <f t="shared" si="11"/>
        <v>0.03484160140719048</v>
      </c>
    </row>
    <row r="8" spans="1:21" ht="12.75">
      <c r="A8" s="5">
        <v>6</v>
      </c>
      <c r="B8" s="6" t="str">
        <f>Maius!B32</f>
        <v>Sunday</v>
      </c>
      <c r="C8" s="59"/>
      <c r="D8" s="7"/>
      <c r="E8" s="8" t="s">
        <v>24</v>
      </c>
      <c r="F8" s="6" t="s">
        <v>95</v>
      </c>
      <c r="G8" s="134" t="s">
        <v>289</v>
      </c>
      <c r="H8" s="9">
        <f t="shared" si="0"/>
        <v>12.055127883036796</v>
      </c>
      <c r="I8" s="9">
        <f t="shared" si="1"/>
        <v>6.159551930164452</v>
      </c>
      <c r="J8" s="9">
        <f t="shared" si="2"/>
        <v>0.2639759772921064</v>
      </c>
      <c r="K8" s="9">
        <f t="shared" si="3"/>
        <v>0.40955193016445157</v>
      </c>
      <c r="L8" s="9">
        <f t="shared" si="4"/>
        <v>0.5551278830367967</v>
      </c>
      <c r="M8" s="9">
        <f t="shared" si="5"/>
        <v>0.700703835909142</v>
      </c>
      <c r="N8" s="9">
        <f t="shared" si="6"/>
        <v>0.8462797887814871</v>
      </c>
      <c r="O8" s="9">
        <f t="shared" si="7"/>
        <v>0.950703835909142</v>
      </c>
      <c r="P8" s="9">
        <f>sunrise(Location!$B$4,Location!$B$5,Location!$B$6,6,A8,Location!$B$7,IF(Location!$B$8="No",0,1))</f>
        <v>0.2639759772921064</v>
      </c>
      <c r="Q8" s="9">
        <f>sunset(Location!$B$4,Location!$B$5,Location!$B$6,6,A8,Location!$B$7,IF(Location!$B$8="No",0,1))</f>
        <v>0.8462797887814871</v>
      </c>
      <c r="R8" s="9">
        <f t="shared" si="8"/>
        <v>0.5823038114893807</v>
      </c>
      <c r="S8" s="10">
        <f t="shared" si="9"/>
        <v>0.04852531762411506</v>
      </c>
      <c r="T8" s="9">
        <f t="shared" si="10"/>
        <v>23.417696188510618</v>
      </c>
      <c r="U8" s="10">
        <f t="shared" si="11"/>
        <v>0.03480801570921827</v>
      </c>
    </row>
    <row r="9" spans="1:21" ht="12.75">
      <c r="A9" s="5">
        <v>7</v>
      </c>
      <c r="B9" s="6" t="str">
        <f>Maius!B33</f>
        <v>Monday</v>
      </c>
      <c r="C9" s="59"/>
      <c r="D9" s="95" t="s">
        <v>20</v>
      </c>
      <c r="E9" s="8" t="s">
        <v>26</v>
      </c>
      <c r="F9" s="6" t="s">
        <v>96</v>
      </c>
      <c r="G9" s="150"/>
      <c r="H9" s="9">
        <f t="shared" si="0"/>
        <v>12.05525337162543</v>
      </c>
      <c r="I9" s="9">
        <f t="shared" si="1"/>
        <v>6.159582947788302</v>
      </c>
      <c r="J9" s="9">
        <f t="shared" si="2"/>
        <v>0.26391252395117465</v>
      </c>
      <c r="K9" s="9">
        <f t="shared" si="3"/>
        <v>0.4095829477883022</v>
      </c>
      <c r="L9" s="9">
        <f t="shared" si="4"/>
        <v>0.5552533716254298</v>
      </c>
      <c r="M9" s="9">
        <f t="shared" si="5"/>
        <v>0.7009237954625572</v>
      </c>
      <c r="N9" s="9">
        <f t="shared" si="6"/>
        <v>0.8465942192996847</v>
      </c>
      <c r="O9" s="9">
        <f t="shared" si="7"/>
        <v>0.9509237954625571</v>
      </c>
      <c r="P9" s="9">
        <f>sunrise(Location!$B$4,Location!$B$5,Location!$B$6,6,A9,Location!$B$7,IF(Location!$B$8="No",0,1))</f>
        <v>0.26391252395117465</v>
      </c>
      <c r="Q9" s="9">
        <f>sunset(Location!$B$4,Location!$B$5,Location!$B$6,6,A9,Location!$B$7,IF(Location!$B$8="No",0,1))</f>
        <v>0.8465942192996847</v>
      </c>
      <c r="R9" s="9">
        <f t="shared" si="8"/>
        <v>0.5826816953485101</v>
      </c>
      <c r="S9" s="10">
        <f t="shared" si="9"/>
        <v>0.04855680794570918</v>
      </c>
      <c r="T9" s="9">
        <f t="shared" si="10"/>
        <v>23.41731830465149</v>
      </c>
      <c r="U9" s="10">
        <f t="shared" si="11"/>
        <v>0.03477652538762415</v>
      </c>
    </row>
    <row r="10" spans="1:21" ht="12.75">
      <c r="A10" s="5">
        <v>8</v>
      </c>
      <c r="B10" s="6" t="str">
        <f aca="true" t="shared" si="12" ref="B10:B16">B3</f>
        <v>Tuesday</v>
      </c>
      <c r="C10" s="59"/>
      <c r="D10" s="7"/>
      <c r="E10" s="8" t="s">
        <v>29</v>
      </c>
      <c r="F10" s="6" t="s">
        <v>97</v>
      </c>
      <c r="G10" s="130"/>
      <c r="H10" s="9">
        <f t="shared" si="0"/>
        <v>12.055382027295542</v>
      </c>
      <c r="I10" s="9">
        <f t="shared" si="1"/>
        <v>6.159623486885077</v>
      </c>
      <c r="J10" s="9">
        <f t="shared" si="2"/>
        <v>0.26386494647461184</v>
      </c>
      <c r="K10" s="9">
        <f t="shared" si="3"/>
        <v>0.40962348688507666</v>
      </c>
      <c r="L10" s="9">
        <f t="shared" si="4"/>
        <v>0.5553820272955414</v>
      </c>
      <c r="M10" s="9">
        <f t="shared" si="5"/>
        <v>0.7011405677060061</v>
      </c>
      <c r="N10" s="9">
        <f t="shared" si="6"/>
        <v>0.8468991081164708</v>
      </c>
      <c r="O10" s="9">
        <f t="shared" si="7"/>
        <v>0.9511405677060061</v>
      </c>
      <c r="P10" s="9">
        <f>sunrise(Location!$B$4,Location!$B$5,Location!$B$6,6,A10,Location!$B$7,IF(Location!$B$8="No",0,1))</f>
        <v>0.26386494647461184</v>
      </c>
      <c r="Q10" s="9">
        <f>sunset(Location!$B$4,Location!$B$5,Location!$B$6,6,A10,Location!$B$7,IF(Location!$B$8="No",0,1))</f>
        <v>0.8468991081164708</v>
      </c>
      <c r="R10" s="9">
        <f t="shared" si="8"/>
        <v>0.5830341616418591</v>
      </c>
      <c r="S10" s="10">
        <f t="shared" si="9"/>
        <v>0.04858618013682159</v>
      </c>
      <c r="T10" s="9">
        <f t="shared" si="10"/>
        <v>23.41696583835814</v>
      </c>
      <c r="U10" s="10">
        <f t="shared" si="11"/>
        <v>0.03474715319651174</v>
      </c>
    </row>
    <row r="11" spans="1:21" ht="12.75">
      <c r="A11" s="5">
        <v>9</v>
      </c>
      <c r="B11" s="6" t="str">
        <f t="shared" si="12"/>
        <v>Wednesday</v>
      </c>
      <c r="C11" s="59"/>
      <c r="D11" s="95" t="s">
        <v>23</v>
      </c>
      <c r="E11" s="8" t="s">
        <v>32</v>
      </c>
      <c r="F11" s="6" t="s">
        <v>98</v>
      </c>
      <c r="G11" s="48" t="s">
        <v>134</v>
      </c>
      <c r="H11" s="9">
        <f t="shared" si="0"/>
        <v>12.05551361623933</v>
      </c>
      <c r="I11" s="9">
        <f t="shared" si="1"/>
        <v>6.159673377722546</v>
      </c>
      <c r="J11" s="9">
        <f t="shared" si="2"/>
        <v>0.26383313920576396</v>
      </c>
      <c r="K11" s="9">
        <f t="shared" si="3"/>
        <v>0.40967337772254675</v>
      </c>
      <c r="L11" s="9">
        <f t="shared" si="4"/>
        <v>0.5555136162393295</v>
      </c>
      <c r="M11" s="9">
        <f t="shared" si="5"/>
        <v>0.7013538547561123</v>
      </c>
      <c r="N11" s="9">
        <f t="shared" si="6"/>
        <v>0.8471940932728952</v>
      </c>
      <c r="O11" s="9">
        <f t="shared" si="7"/>
        <v>0.9513538547561124</v>
      </c>
      <c r="P11" s="9">
        <f>sunrise(Location!$B$4,Location!$B$5,Location!$B$6,6,A11,Location!$B$7,IF(Location!$B$8="No",0,1))</f>
        <v>0.26383313920576396</v>
      </c>
      <c r="Q11" s="9">
        <f>sunset(Location!$B$4,Location!$B$5,Location!$B$6,6,A11,Location!$B$7,IF(Location!$B$8="No",0,1))</f>
        <v>0.8471940932728952</v>
      </c>
      <c r="R11" s="9">
        <f t="shared" si="8"/>
        <v>0.5833609540671312</v>
      </c>
      <c r="S11" s="10">
        <f t="shared" si="9"/>
        <v>0.048613412838927596</v>
      </c>
      <c r="T11" s="9">
        <f t="shared" si="10"/>
        <v>23.416639045932868</v>
      </c>
      <c r="U11" s="10">
        <f t="shared" si="11"/>
        <v>0.03471992049440573</v>
      </c>
    </row>
    <row r="12" spans="1:21" ht="12.75">
      <c r="A12" s="5">
        <v>10</v>
      </c>
      <c r="B12" s="6" t="str">
        <f t="shared" si="12"/>
        <v>Thursday</v>
      </c>
      <c r="C12" s="59"/>
      <c r="D12" s="95" t="s">
        <v>28</v>
      </c>
      <c r="E12" s="8" t="s">
        <v>36</v>
      </c>
      <c r="F12" s="6" t="s">
        <v>99</v>
      </c>
      <c r="G12" s="130"/>
      <c r="H12" s="9">
        <f t="shared" si="0"/>
        <v>12.055647899384107</v>
      </c>
      <c r="I12" s="9">
        <f t="shared" si="1"/>
        <v>6.159732440947791</v>
      </c>
      <c r="J12" s="9">
        <f t="shared" si="2"/>
        <v>0.26381698251147506</v>
      </c>
      <c r="K12" s="9">
        <f t="shared" si="3"/>
        <v>0.4097324409477907</v>
      </c>
      <c r="L12" s="9">
        <f t="shared" si="4"/>
        <v>0.5556478993841063</v>
      </c>
      <c r="M12" s="9">
        <f t="shared" si="5"/>
        <v>0.7015633578204219</v>
      </c>
      <c r="N12" s="9">
        <f t="shared" si="6"/>
        <v>0.8474788162567375</v>
      </c>
      <c r="O12" s="9">
        <f t="shared" si="7"/>
        <v>0.9515633578204219</v>
      </c>
      <c r="P12" s="9">
        <f>sunrise(Location!$B$4,Location!$B$5,Location!$B$6,6,A12,Location!$B$7,IF(Location!$B$8="No",0,1))</f>
        <v>0.26381698251147506</v>
      </c>
      <c r="Q12" s="9">
        <f>sunset(Location!$B$4,Location!$B$5,Location!$B$6,6,A12,Location!$B$7,IF(Location!$B$8="No",0,1))</f>
        <v>0.8474788162567375</v>
      </c>
      <c r="R12" s="9">
        <f t="shared" si="8"/>
        <v>0.5836618337452624</v>
      </c>
      <c r="S12" s="10">
        <f t="shared" si="9"/>
        <v>0.04863848614543853</v>
      </c>
      <c r="T12" s="9">
        <f t="shared" si="10"/>
        <v>23.41633816625474</v>
      </c>
      <c r="U12" s="10">
        <f t="shared" si="11"/>
        <v>0.0346948471878948</v>
      </c>
    </row>
    <row r="13" spans="1:21" ht="12.75">
      <c r="A13" s="5">
        <v>11</v>
      </c>
      <c r="B13" s="6" t="str">
        <f t="shared" si="12"/>
        <v>Friday</v>
      </c>
      <c r="C13" s="59"/>
      <c r="D13" s="7"/>
      <c r="E13" s="8" t="s">
        <v>17</v>
      </c>
      <c r="F13" s="6" t="s">
        <v>101</v>
      </c>
      <c r="G13" s="47" t="s">
        <v>219</v>
      </c>
      <c r="H13" s="9">
        <f t="shared" si="0"/>
        <v>12.055784632772603</v>
      </c>
      <c r="I13" s="9">
        <f t="shared" si="1"/>
        <v>6.159800487808434</v>
      </c>
      <c r="J13" s="9">
        <f t="shared" si="2"/>
        <v>0.2638163428442658</v>
      </c>
      <c r="K13" s="9">
        <f t="shared" si="3"/>
        <v>0.40980048780843475</v>
      </c>
      <c r="L13" s="9">
        <f t="shared" si="4"/>
        <v>0.5557846327726037</v>
      </c>
      <c r="M13" s="9">
        <f t="shared" si="5"/>
        <v>0.7017687777367727</v>
      </c>
      <c r="N13" s="9">
        <f t="shared" si="6"/>
        <v>0.8477529227009417</v>
      </c>
      <c r="O13" s="9">
        <f t="shared" si="7"/>
        <v>0.9517687777367727</v>
      </c>
      <c r="P13" s="9">
        <f>sunrise(Location!$B$4,Location!$B$5,Location!$B$6,6,A13,Location!$B$7,IF(Location!$B$8="No",0,1))</f>
        <v>0.2638163428442658</v>
      </c>
      <c r="Q13" s="9">
        <f>sunset(Location!$B$4,Location!$B$5,Location!$B$6,6,A13,Location!$B$7,IF(Location!$B$8="No",0,1))</f>
        <v>0.8477529227009417</v>
      </c>
      <c r="R13" s="9">
        <f t="shared" si="8"/>
        <v>0.5839365798566759</v>
      </c>
      <c r="S13" s="10">
        <f t="shared" si="9"/>
        <v>0.048661381654722995</v>
      </c>
      <c r="T13" s="9">
        <f t="shared" si="10"/>
        <v>23.416063420143324</v>
      </c>
      <c r="U13" s="10">
        <f t="shared" si="11"/>
        <v>0.034671951678610334</v>
      </c>
    </row>
    <row r="14" spans="1:21" ht="12.75">
      <c r="A14" s="5">
        <v>12</v>
      </c>
      <c r="B14" s="6" t="str">
        <f t="shared" si="12"/>
        <v>Saturday</v>
      </c>
      <c r="C14" s="59"/>
      <c r="D14" s="95" t="s">
        <v>35</v>
      </c>
      <c r="E14" s="8" t="s">
        <v>21</v>
      </c>
      <c r="F14" s="6" t="s">
        <v>46</v>
      </c>
      <c r="G14" s="130"/>
      <c r="H14" s="9">
        <f t="shared" si="0"/>
        <v>12.05592356795669</v>
      </c>
      <c r="I14" s="9">
        <f t="shared" si="1"/>
        <v>6.159877320397245</v>
      </c>
      <c r="J14" s="9">
        <f t="shared" si="2"/>
        <v>0.26383107283779983</v>
      </c>
      <c r="K14" s="9">
        <f t="shared" si="3"/>
        <v>0.40987732039724467</v>
      </c>
      <c r="L14" s="9">
        <f t="shared" si="4"/>
        <v>0.5559235679566895</v>
      </c>
      <c r="M14" s="9">
        <f t="shared" si="5"/>
        <v>0.7019698155161344</v>
      </c>
      <c r="N14" s="9">
        <f t="shared" si="6"/>
        <v>0.8480160630755792</v>
      </c>
      <c r="O14" s="9">
        <f t="shared" si="7"/>
        <v>0.9519698155161344</v>
      </c>
      <c r="P14" s="9">
        <f>sunrise(Location!$B$4,Location!$B$5,Location!$B$6,6,A14,Location!$B$7,IF(Location!$B$8="No",0,1))</f>
        <v>0.26383107283779983</v>
      </c>
      <c r="Q14" s="9">
        <f>sunset(Location!$B$4,Location!$B$5,Location!$B$6,6,A14,Location!$B$7,IF(Location!$B$8="No",0,1))</f>
        <v>0.8480160630755792</v>
      </c>
      <c r="R14" s="9">
        <f t="shared" si="8"/>
        <v>0.5841849902377794</v>
      </c>
      <c r="S14" s="10">
        <f t="shared" si="9"/>
        <v>0.04868208251981495</v>
      </c>
      <c r="T14" s="9">
        <f t="shared" si="10"/>
        <v>23.41581500976222</v>
      </c>
      <c r="U14" s="10">
        <f t="shared" si="11"/>
        <v>0.03465125081351838</v>
      </c>
    </row>
    <row r="15" spans="1:21" ht="12.75">
      <c r="A15" s="5">
        <v>13</v>
      </c>
      <c r="B15" s="6" t="str">
        <f t="shared" si="12"/>
        <v>Sunday</v>
      </c>
      <c r="C15" s="59"/>
      <c r="D15" s="95" t="s">
        <v>38</v>
      </c>
      <c r="E15" s="8" t="s">
        <v>24</v>
      </c>
      <c r="F15" s="6" t="s">
        <v>47</v>
      </c>
      <c r="G15" s="134" t="s">
        <v>288</v>
      </c>
      <c r="H15" s="9">
        <f t="shared" si="0"/>
        <v>12.05606445240175</v>
      </c>
      <c r="I15" s="9">
        <f t="shared" si="1"/>
        <v>6.1599627319190855</v>
      </c>
      <c r="J15" s="9">
        <f t="shared" si="2"/>
        <v>0.263861011436421</v>
      </c>
      <c r="K15" s="9">
        <f t="shared" si="3"/>
        <v>0.4099627319190857</v>
      </c>
      <c r="L15" s="9">
        <f t="shared" si="4"/>
        <v>0.5560644524017504</v>
      </c>
      <c r="M15" s="9">
        <f t="shared" si="5"/>
        <v>0.7021661728844151</v>
      </c>
      <c r="N15" s="9">
        <f t="shared" si="6"/>
        <v>0.8482678933670796</v>
      </c>
      <c r="O15" s="9">
        <f t="shared" si="7"/>
        <v>0.952166172884415</v>
      </c>
      <c r="P15" s="9">
        <f>sunrise(Location!$B$4,Location!$B$5,Location!$B$6,6,A15,Location!$B$7,IF(Location!$B$8="No",0,1))</f>
        <v>0.263861011436421</v>
      </c>
      <c r="Q15" s="9">
        <f>sunset(Location!$B$4,Location!$B$5,Location!$B$6,6,A15,Location!$B$7,IF(Location!$B$8="No",0,1))</f>
        <v>0.8482678933670796</v>
      </c>
      <c r="R15" s="9">
        <f t="shared" si="8"/>
        <v>0.5844068819306587</v>
      </c>
      <c r="S15" s="10">
        <f t="shared" si="9"/>
        <v>0.048700573494221557</v>
      </c>
      <c r="T15" s="9">
        <f t="shared" si="10"/>
        <v>23.415593118069342</v>
      </c>
      <c r="U15" s="10">
        <f t="shared" si="11"/>
        <v>0.03463275983911177</v>
      </c>
    </row>
    <row r="16" spans="1:21" ht="12.75">
      <c r="A16" s="5">
        <v>14</v>
      </c>
      <c r="B16" s="6" t="str">
        <f t="shared" si="12"/>
        <v>Monday</v>
      </c>
      <c r="C16" s="59"/>
      <c r="D16" s="7"/>
      <c r="E16" s="8" t="s">
        <v>26</v>
      </c>
      <c r="F16" s="6" t="s">
        <v>122</v>
      </c>
      <c r="G16" s="48" t="s">
        <v>135</v>
      </c>
      <c r="H16" s="9">
        <f t="shared" si="0"/>
        <v>12.05620702990217</v>
      </c>
      <c r="I16" s="9">
        <f t="shared" si="1"/>
        <v>6.160056506980633</v>
      </c>
      <c r="J16" s="9">
        <f t="shared" si="2"/>
        <v>0.2639059840590948</v>
      </c>
      <c r="K16" s="9">
        <f t="shared" si="3"/>
        <v>0.41005650698063234</v>
      </c>
      <c r="L16" s="9">
        <f t="shared" si="4"/>
        <v>0.5562070299021699</v>
      </c>
      <c r="M16" s="9">
        <f t="shared" si="5"/>
        <v>0.7023575528237074</v>
      </c>
      <c r="N16" s="9">
        <f t="shared" si="6"/>
        <v>0.8485080757452449</v>
      </c>
      <c r="O16" s="9">
        <f t="shared" si="7"/>
        <v>0.9523575528237074</v>
      </c>
      <c r="P16" s="9">
        <f>sunrise(Location!$B$4,Location!$B$5,Location!$B$6,6,A16,Location!$B$7,IF(Location!$B$8="No",0,1))</f>
        <v>0.2639059840590948</v>
      </c>
      <c r="Q16" s="9">
        <f>sunset(Location!$B$4,Location!$B$5,Location!$B$6,6,A16,Location!$B$7,IF(Location!$B$8="No",0,1))</f>
        <v>0.8485080757452449</v>
      </c>
      <c r="R16" s="9">
        <f t="shared" si="8"/>
        <v>0.5846020916861501</v>
      </c>
      <c r="S16" s="10">
        <f t="shared" si="9"/>
        <v>0.04871684097384584</v>
      </c>
      <c r="T16" s="9">
        <f t="shared" si="10"/>
        <v>23.41539790831385</v>
      </c>
      <c r="U16" s="10">
        <f t="shared" si="11"/>
        <v>0.03461649235948749</v>
      </c>
    </row>
    <row r="17" spans="1:21" ht="12.75">
      <c r="A17" s="5">
        <v>15</v>
      </c>
      <c r="B17" s="6" t="str">
        <f aca="true" t="shared" si="13" ref="B17:B23">B3</f>
        <v>Tuesday</v>
      </c>
      <c r="C17" s="59"/>
      <c r="D17" s="95" t="s">
        <v>40</v>
      </c>
      <c r="E17" s="8" t="s">
        <v>29</v>
      </c>
      <c r="F17" s="6" t="s">
        <v>102</v>
      </c>
      <c r="G17" s="130"/>
      <c r="H17" s="9">
        <f t="shared" si="0"/>
        <v>12.056351041005845</v>
      </c>
      <c r="I17" s="9">
        <f t="shared" si="1"/>
        <v>6.160158421902162</v>
      </c>
      <c r="J17" s="9">
        <f t="shared" si="2"/>
        <v>0.2639658027984789</v>
      </c>
      <c r="K17" s="9">
        <f t="shared" si="3"/>
        <v>0.4101584219021615</v>
      </c>
      <c r="L17" s="9">
        <f t="shared" si="4"/>
        <v>0.5563510410058441</v>
      </c>
      <c r="M17" s="9">
        <f t="shared" si="5"/>
        <v>0.7025436601095266</v>
      </c>
      <c r="N17" s="9">
        <f t="shared" si="6"/>
        <v>0.8487362792132092</v>
      </c>
      <c r="O17" s="9">
        <f t="shared" si="7"/>
        <v>0.9525436601095265</v>
      </c>
      <c r="P17" s="9">
        <f>sunrise(Location!$B$4,Location!$B$5,Location!$B$6,6,A17,Location!$B$7,IF(Location!$B$8="No",0,1))</f>
        <v>0.2639658027984789</v>
      </c>
      <c r="Q17" s="9">
        <f>sunset(Location!$B$4,Location!$B$5,Location!$B$6,6,A17,Location!$B$7,IF(Location!$B$8="No",0,1))</f>
        <v>0.8487362792132092</v>
      </c>
      <c r="R17" s="9">
        <f t="shared" si="8"/>
        <v>0.5847704764147302</v>
      </c>
      <c r="S17" s="10">
        <f t="shared" si="9"/>
        <v>0.048730873034560855</v>
      </c>
      <c r="T17" s="9">
        <f t="shared" si="10"/>
        <v>23.41522952358527</v>
      </c>
      <c r="U17" s="10">
        <f t="shared" si="11"/>
        <v>0.034602460298772474</v>
      </c>
    </row>
    <row r="18" spans="1:21" ht="12.75">
      <c r="A18" s="5">
        <v>16</v>
      </c>
      <c r="B18" s="6" t="str">
        <f t="shared" si="13"/>
        <v>Wednesday</v>
      </c>
      <c r="C18" s="59"/>
      <c r="D18" s="95" t="s">
        <v>42</v>
      </c>
      <c r="E18" s="8" t="s">
        <v>32</v>
      </c>
      <c r="F18" s="6" t="s">
        <v>103</v>
      </c>
      <c r="G18" s="130"/>
      <c r="H18" s="9">
        <f t="shared" si="0"/>
        <v>12.056496223447663</v>
      </c>
      <c r="I18" s="9">
        <f t="shared" si="1"/>
        <v>6.1602682450512996</v>
      </c>
      <c r="J18" s="9">
        <f t="shared" si="2"/>
        <v>0.26404026665493574</v>
      </c>
      <c r="K18" s="9">
        <f t="shared" si="3"/>
        <v>0.41026824505129933</v>
      </c>
      <c r="L18" s="9">
        <f t="shared" si="4"/>
        <v>0.5564962234476629</v>
      </c>
      <c r="M18" s="9">
        <f t="shared" si="5"/>
        <v>0.7027242018440265</v>
      </c>
      <c r="N18" s="9">
        <f t="shared" si="6"/>
        <v>0.84895218024039</v>
      </c>
      <c r="O18" s="9">
        <f t="shared" si="7"/>
        <v>0.9527242018440264</v>
      </c>
      <c r="P18" s="9">
        <f>sunrise(Location!$B$4,Location!$B$5,Location!$B$6,6,A18,Location!$B$7,IF(Location!$B$8="No",0,1))</f>
        <v>0.26404026665493574</v>
      </c>
      <c r="Q18" s="9">
        <f>sunset(Location!$B$4,Location!$B$5,Location!$B$6,6,A18,Location!$B$7,IF(Location!$B$8="No",0,1))</f>
        <v>0.84895218024039</v>
      </c>
      <c r="R18" s="9">
        <f t="shared" si="8"/>
        <v>0.5849119135854542</v>
      </c>
      <c r="S18" s="10">
        <f t="shared" si="9"/>
        <v>0.04874265946545452</v>
      </c>
      <c r="T18" s="9">
        <f t="shared" si="10"/>
        <v>23.415088086414546</v>
      </c>
      <c r="U18" s="10">
        <f t="shared" si="11"/>
        <v>0.034590673867878806</v>
      </c>
    </row>
    <row r="19" spans="1:21" ht="12.75">
      <c r="A19" s="5">
        <v>17</v>
      </c>
      <c r="B19" s="6" t="str">
        <f t="shared" si="13"/>
        <v>Thursday</v>
      </c>
      <c r="C19" s="59"/>
      <c r="D19" s="7"/>
      <c r="E19" s="8" t="s">
        <v>36</v>
      </c>
      <c r="F19" s="6" t="s">
        <v>105</v>
      </c>
      <c r="G19" s="130"/>
      <c r="H19" s="9">
        <f t="shared" si="0"/>
        <v>12.056642312590096</v>
      </c>
      <c r="I19" s="9">
        <f t="shared" si="1"/>
        <v>6.1603857371978705</v>
      </c>
      <c r="J19" s="9">
        <f t="shared" si="2"/>
        <v>0.26412916180564494</v>
      </c>
      <c r="K19" s="9">
        <f t="shared" si="3"/>
        <v>0.41038573719787047</v>
      </c>
      <c r="L19" s="9">
        <f t="shared" si="4"/>
        <v>0.556642312590096</v>
      </c>
      <c r="M19" s="9">
        <f t="shared" si="5"/>
        <v>0.7028988879823215</v>
      </c>
      <c r="N19" s="9">
        <f t="shared" si="6"/>
        <v>0.8491554633745471</v>
      </c>
      <c r="O19" s="9">
        <f t="shared" si="7"/>
        <v>0.9528988879823215</v>
      </c>
      <c r="P19" s="9">
        <f>sunrise(Location!$B$4,Location!$B$5,Location!$B$6,6,A19,Location!$B$7,IF(Location!$B$8="No",0,1))</f>
        <v>0.26412916180564494</v>
      </c>
      <c r="Q19" s="9">
        <f>sunset(Location!$B$4,Location!$B$5,Location!$B$6,6,A19,Location!$B$7,IF(Location!$B$8="No",0,1))</f>
        <v>0.8491554633745471</v>
      </c>
      <c r="R19" s="9">
        <f t="shared" si="8"/>
        <v>0.5850263015689021</v>
      </c>
      <c r="S19" s="10">
        <f t="shared" si="9"/>
        <v>0.04875219179740851</v>
      </c>
      <c r="T19" s="9">
        <f t="shared" si="10"/>
        <v>23.414973698431098</v>
      </c>
      <c r="U19" s="10">
        <f t="shared" si="11"/>
        <v>0.03458114153592482</v>
      </c>
    </row>
    <row r="20" spans="1:21" ht="12.75">
      <c r="A20" s="5">
        <v>18</v>
      </c>
      <c r="B20" s="6" t="str">
        <f t="shared" si="13"/>
        <v>Friday</v>
      </c>
      <c r="C20" s="59"/>
      <c r="D20" s="95" t="s">
        <v>45</v>
      </c>
      <c r="E20" s="8" t="s">
        <v>17</v>
      </c>
      <c r="F20" s="6" t="s">
        <v>107</v>
      </c>
      <c r="G20" s="130"/>
      <c r="H20" s="9">
        <f t="shared" si="0"/>
        <v>12.05678904186994</v>
      </c>
      <c r="I20" s="9">
        <f t="shared" si="1"/>
        <v>6.160510651889479</v>
      </c>
      <c r="J20" s="9">
        <f t="shared" si="2"/>
        <v>0.2642322619090172</v>
      </c>
      <c r="K20" s="9">
        <f t="shared" si="3"/>
        <v>0.410510651889479</v>
      </c>
      <c r="L20" s="9">
        <f t="shared" si="4"/>
        <v>0.5567890418699408</v>
      </c>
      <c r="M20" s="9">
        <f t="shared" si="5"/>
        <v>0.7030674318504025</v>
      </c>
      <c r="N20" s="9">
        <f t="shared" si="6"/>
        <v>0.8493458218308643</v>
      </c>
      <c r="O20" s="9">
        <f t="shared" si="7"/>
        <v>0.9530674318504024</v>
      </c>
      <c r="P20" s="9">
        <f>sunrise(Location!$B$4,Location!$B$5,Location!$B$6,6,A20,Location!$B$7,IF(Location!$B$8="No",0,1))</f>
        <v>0.2642322619090172</v>
      </c>
      <c r="Q20" s="9">
        <f>sunset(Location!$B$4,Location!$B$5,Location!$B$6,6,A20,Location!$B$7,IF(Location!$B$8="No",0,1))</f>
        <v>0.8493458218308643</v>
      </c>
      <c r="R20" s="9">
        <f t="shared" si="8"/>
        <v>0.5851135599218471</v>
      </c>
      <c r="S20" s="10">
        <f t="shared" si="9"/>
        <v>0.048759463326820594</v>
      </c>
      <c r="T20" s="9">
        <f t="shared" si="10"/>
        <v>23.414886440078153</v>
      </c>
      <c r="U20" s="10">
        <f t="shared" si="11"/>
        <v>0.034573870006512734</v>
      </c>
    </row>
    <row r="21" spans="1:21" ht="12.75">
      <c r="A21" s="5">
        <v>19</v>
      </c>
      <c r="B21" s="6" t="str">
        <f t="shared" si="13"/>
        <v>Saturday</v>
      </c>
      <c r="C21" s="59"/>
      <c r="D21" s="7"/>
      <c r="E21" s="8" t="s">
        <v>21</v>
      </c>
      <c r="F21" s="6" t="s">
        <v>108</v>
      </c>
      <c r="G21" s="130"/>
      <c r="H21" s="9">
        <f t="shared" si="0"/>
        <v>12.05693614325043</v>
      </c>
      <c r="I21" s="9">
        <f t="shared" si="1"/>
        <v>6.160642735846869</v>
      </c>
      <c r="J21" s="9">
        <f t="shared" si="2"/>
        <v>0.2643493284433068</v>
      </c>
      <c r="K21" s="9">
        <f t="shared" si="3"/>
        <v>0.41064273584686883</v>
      </c>
      <c r="L21" s="9">
        <f t="shared" si="4"/>
        <v>0.556936143250431</v>
      </c>
      <c r="M21" s="9">
        <f t="shared" si="5"/>
        <v>0.703229550653993</v>
      </c>
      <c r="N21" s="9">
        <f t="shared" si="6"/>
        <v>0.8495229580575551</v>
      </c>
      <c r="O21" s="9">
        <f t="shared" si="7"/>
        <v>0.953229550653993</v>
      </c>
      <c r="P21" s="9">
        <f>sunrise(Location!$B$4,Location!$B$5,Location!$B$6,6,A21,Location!$B$7,IF(Location!$B$8="No",0,1))</f>
        <v>0.2643493284433068</v>
      </c>
      <c r="Q21" s="9">
        <f>sunset(Location!$B$4,Location!$B$5,Location!$B$6,6,A21,Location!$B$7,IF(Location!$B$8="No",0,1))</f>
        <v>0.8495229580575551</v>
      </c>
      <c r="R21" s="9">
        <f t="shared" si="8"/>
        <v>0.5851736296142482</v>
      </c>
      <c r="S21" s="10">
        <f t="shared" si="9"/>
        <v>0.048764469134520684</v>
      </c>
      <c r="T21" s="9">
        <f t="shared" si="10"/>
        <v>23.41482637038575</v>
      </c>
      <c r="U21" s="10">
        <f t="shared" si="11"/>
        <v>0.034568864198812645</v>
      </c>
    </row>
    <row r="22" spans="1:21" ht="12.75">
      <c r="A22" s="5">
        <v>20</v>
      </c>
      <c r="B22" s="6" t="str">
        <f t="shared" si="13"/>
        <v>Sunday</v>
      </c>
      <c r="C22" s="59"/>
      <c r="D22" s="95" t="s">
        <v>48</v>
      </c>
      <c r="E22" s="8" t="s">
        <v>24</v>
      </c>
      <c r="F22" s="6" t="s">
        <v>110</v>
      </c>
      <c r="G22" s="134" t="s">
        <v>290</v>
      </c>
      <c r="H22" s="9">
        <f t="shared" si="0"/>
        <v>12.057083347677452</v>
      </c>
      <c r="I22" s="9">
        <f t="shared" si="1"/>
        <v>6.16078172937871</v>
      </c>
      <c r="J22" s="9">
        <f t="shared" si="2"/>
        <v>0.2644801110799687</v>
      </c>
      <c r="K22" s="9">
        <f t="shared" si="3"/>
        <v>0.41078172937871</v>
      </c>
      <c r="L22" s="9">
        <f t="shared" si="4"/>
        <v>0.5570833476774513</v>
      </c>
      <c r="M22" s="9">
        <f t="shared" si="5"/>
        <v>0.7033849659761926</v>
      </c>
      <c r="N22" s="9">
        <f t="shared" si="6"/>
        <v>0.8496865842749339</v>
      </c>
      <c r="O22" s="9">
        <f t="shared" si="7"/>
        <v>0.9533849659761926</v>
      </c>
      <c r="P22" s="9">
        <f>sunrise(Location!$B$4,Location!$B$5,Location!$B$6,6,A22,Location!$B$7,IF(Location!$B$8="No",0,1))</f>
        <v>0.2644801110799687</v>
      </c>
      <c r="Q22" s="9">
        <f>sunset(Location!$B$4,Location!$B$5,Location!$B$6,6,A22,Location!$B$7,IF(Location!$B$8="No",0,1))</f>
        <v>0.8496865842749339</v>
      </c>
      <c r="R22" s="9">
        <f t="shared" si="8"/>
        <v>0.5852064731949652</v>
      </c>
      <c r="S22" s="10">
        <f t="shared" si="9"/>
        <v>0.048767206099580435</v>
      </c>
      <c r="T22" s="9">
        <f t="shared" si="10"/>
        <v>23.414793526805035</v>
      </c>
      <c r="U22" s="10">
        <f t="shared" si="11"/>
        <v>0.034566127233752894</v>
      </c>
    </row>
    <row r="23" spans="1:21" ht="12.75">
      <c r="A23" s="5">
        <v>21</v>
      </c>
      <c r="B23" s="6" t="str">
        <f t="shared" si="13"/>
        <v>Monday</v>
      </c>
      <c r="C23" s="59"/>
      <c r="D23" s="95" t="s">
        <v>50</v>
      </c>
      <c r="E23" s="8" t="s">
        <v>26</v>
      </c>
      <c r="F23" s="6" t="s">
        <v>111</v>
      </c>
      <c r="G23" s="130"/>
      <c r="H23" s="9">
        <f t="shared" si="0"/>
        <v>12.0572303855383</v>
      </c>
      <c r="I23" s="9">
        <f t="shared" si="1"/>
        <v>6.1609273668142</v>
      </c>
      <c r="J23" s="9">
        <f t="shared" si="2"/>
        <v>0.2646243480900995</v>
      </c>
      <c r="K23" s="9">
        <f t="shared" si="3"/>
        <v>0.41092736681419967</v>
      </c>
      <c r="L23" s="9">
        <f t="shared" si="4"/>
        <v>0.5572303855382998</v>
      </c>
      <c r="M23" s="9">
        <f t="shared" si="5"/>
        <v>0.7035334042624</v>
      </c>
      <c r="N23" s="9">
        <f t="shared" si="6"/>
        <v>0.8498364229865001</v>
      </c>
      <c r="O23" s="9">
        <f t="shared" si="7"/>
        <v>0.9535334042624</v>
      </c>
      <c r="P23" s="9">
        <f>sunrise(Location!$B$4,Location!$B$5,Location!$B$6,6,A23,Location!$B$7,IF(Location!$B$8="No",0,1))</f>
        <v>0.2646243480900995</v>
      </c>
      <c r="Q23" s="9">
        <f>sunset(Location!$B$4,Location!$B$5,Location!$B$6,6,A23,Location!$B$7,IF(Location!$B$8="No",0,1))</f>
        <v>0.8498364229865001</v>
      </c>
      <c r="R23" s="9">
        <f t="shared" si="8"/>
        <v>0.5852120748964006</v>
      </c>
      <c r="S23" s="10">
        <f t="shared" si="9"/>
        <v>0.04876767290803338</v>
      </c>
      <c r="T23" s="9">
        <f t="shared" si="10"/>
        <v>23.4147879251036</v>
      </c>
      <c r="U23" s="10">
        <f t="shared" si="11"/>
        <v>0.034565660425299946</v>
      </c>
    </row>
    <row r="24" spans="1:21" ht="12.75">
      <c r="A24" s="5">
        <v>22</v>
      </c>
      <c r="B24" s="6" t="str">
        <f aca="true" t="shared" si="14" ref="B24:B32">B3</f>
        <v>Tuesday</v>
      </c>
      <c r="C24" s="59"/>
      <c r="D24" s="7"/>
      <c r="E24" s="8" t="s">
        <v>29</v>
      </c>
      <c r="F24" s="6" t="s">
        <v>112</v>
      </c>
      <c r="G24" s="46" t="s">
        <v>136</v>
      </c>
      <c r="H24" s="9">
        <f t="shared" si="0"/>
        <v>12.05737698712208</v>
      </c>
      <c r="I24" s="9">
        <f t="shared" si="1"/>
        <v>6.161079376952798</v>
      </c>
      <c r="J24" s="9">
        <f t="shared" si="2"/>
        <v>0.2647817667835153</v>
      </c>
      <c r="K24" s="9">
        <f t="shared" si="3"/>
        <v>0.4110793769527977</v>
      </c>
      <c r="L24" s="9">
        <f t="shared" si="4"/>
        <v>0.5573769871220802</v>
      </c>
      <c r="M24" s="9">
        <f t="shared" si="5"/>
        <v>0.7036745972913627</v>
      </c>
      <c r="N24" s="9">
        <f t="shared" si="6"/>
        <v>0.8499722074606452</v>
      </c>
      <c r="O24" s="9">
        <f t="shared" si="7"/>
        <v>0.9536745972913627</v>
      </c>
      <c r="P24" s="9">
        <f>sunrise(Location!$B$4,Location!$B$5,Location!$B$6,6,A24,Location!$B$7,IF(Location!$B$8="No",0,1))</f>
        <v>0.2647817667835153</v>
      </c>
      <c r="Q24" s="9">
        <f>sunset(Location!$B$4,Location!$B$5,Location!$B$6,6,A24,Location!$B$7,IF(Location!$B$8="No",0,1))</f>
        <v>0.8499722074606452</v>
      </c>
      <c r="R24" s="9">
        <f t="shared" si="8"/>
        <v>0.5851904406771299</v>
      </c>
      <c r="S24" s="10">
        <f t="shared" si="9"/>
        <v>0.04876587005642749</v>
      </c>
      <c r="T24" s="9">
        <f t="shared" si="10"/>
        <v>23.41480955932287</v>
      </c>
      <c r="U24" s="10">
        <f t="shared" si="11"/>
        <v>0.03456746327690584</v>
      </c>
    </row>
    <row r="25" spans="1:21" ht="12.75">
      <c r="A25" s="5">
        <v>23</v>
      </c>
      <c r="B25" s="6" t="str">
        <f t="shared" si="14"/>
        <v>Wednesday</v>
      </c>
      <c r="C25" s="59"/>
      <c r="D25" s="95" t="s">
        <v>53</v>
      </c>
      <c r="E25" s="8" t="s">
        <v>32</v>
      </c>
      <c r="F25" s="6" t="s">
        <v>113</v>
      </c>
      <c r="G25" s="130" t="s">
        <v>137</v>
      </c>
      <c r="H25" s="9">
        <f t="shared" si="0"/>
        <v>12.057522883080988</v>
      </c>
      <c r="I25" s="9">
        <f t="shared" si="1"/>
        <v>6.161237483530281</v>
      </c>
      <c r="J25" s="9">
        <f t="shared" si="2"/>
        <v>0.2649520839795721</v>
      </c>
      <c r="K25" s="9">
        <f t="shared" si="3"/>
        <v>0.41123748353027945</v>
      </c>
      <c r="L25" s="9">
        <f t="shared" si="4"/>
        <v>0.5575228830809869</v>
      </c>
      <c r="M25" s="9">
        <f t="shared" si="5"/>
        <v>0.7038082826316943</v>
      </c>
      <c r="N25" s="9">
        <f t="shared" si="6"/>
        <v>0.8500936821824016</v>
      </c>
      <c r="O25" s="9">
        <f t="shared" si="7"/>
        <v>0.9538082826316941</v>
      </c>
      <c r="P25" s="9">
        <f>sunrise(Location!$B$4,Location!$B$5,Location!$B$6,6,A25,Location!$B$7,IF(Location!$B$8="No",0,1))</f>
        <v>0.2649520839795721</v>
      </c>
      <c r="Q25" s="9">
        <f>sunset(Location!$B$4,Location!$B$5,Location!$B$6,6,A25,Location!$B$7,IF(Location!$B$8="No",0,1))</f>
        <v>0.8500936821824016</v>
      </c>
      <c r="R25" s="9">
        <f t="shared" si="8"/>
        <v>0.5851415982028294</v>
      </c>
      <c r="S25" s="10">
        <f t="shared" si="9"/>
        <v>0.048761799850235786</v>
      </c>
      <c r="T25" s="9">
        <f t="shared" si="10"/>
        <v>23.414858401797172</v>
      </c>
      <c r="U25" s="10">
        <f t="shared" si="11"/>
        <v>0.03457153348309754</v>
      </c>
    </row>
    <row r="26" spans="1:21" ht="12.75">
      <c r="A26" s="5">
        <v>24</v>
      </c>
      <c r="B26" s="6" t="str">
        <f t="shared" si="14"/>
        <v>Thursday</v>
      </c>
      <c r="C26" s="59"/>
      <c r="D26" s="95" t="s">
        <v>55</v>
      </c>
      <c r="E26" s="8" t="s">
        <v>36</v>
      </c>
      <c r="F26" s="6" t="s">
        <v>114</v>
      </c>
      <c r="G26" s="48" t="s">
        <v>138</v>
      </c>
      <c r="H26" s="9">
        <f t="shared" si="0"/>
        <v>12.05766780489023</v>
      </c>
      <c r="I26" s="9">
        <f t="shared" si="1"/>
        <v>6.161401405699106</v>
      </c>
      <c r="J26" s="9">
        <f t="shared" si="2"/>
        <v>0.265135006507983</v>
      </c>
      <c r="K26" s="9">
        <f t="shared" si="3"/>
        <v>0.41140140569910655</v>
      </c>
      <c r="L26" s="9">
        <f t="shared" si="4"/>
        <v>0.5576678048902302</v>
      </c>
      <c r="M26" s="9">
        <f t="shared" si="5"/>
        <v>0.7039342040813537</v>
      </c>
      <c r="N26" s="9">
        <f t="shared" si="6"/>
        <v>0.8502006032724772</v>
      </c>
      <c r="O26" s="9">
        <f t="shared" si="7"/>
        <v>0.9539342040813537</v>
      </c>
      <c r="P26" s="9">
        <f>sunrise(Location!$B$4,Location!$B$5,Location!$B$6,6,A26,Location!$B$7,IF(Location!$B$8="No",0,1))</f>
        <v>0.265135006507983</v>
      </c>
      <c r="Q26" s="9">
        <f>sunset(Location!$B$4,Location!$B$5,Location!$B$6,6,A26,Location!$B$7,IF(Location!$B$8="No",0,1))</f>
        <v>0.8502006032724772</v>
      </c>
      <c r="R26" s="9">
        <f t="shared" si="8"/>
        <v>0.5850655967644942</v>
      </c>
      <c r="S26" s="10">
        <f t="shared" si="9"/>
        <v>0.04875546639704118</v>
      </c>
      <c r="T26" s="9">
        <f t="shared" si="10"/>
        <v>23.414934403235506</v>
      </c>
      <c r="U26" s="10">
        <f t="shared" si="11"/>
        <v>0.03457786693629215</v>
      </c>
    </row>
    <row r="27" spans="1:21" ht="12.75">
      <c r="A27" s="5">
        <v>25</v>
      </c>
      <c r="B27" s="6" t="str">
        <f t="shared" si="14"/>
        <v>Friday</v>
      </c>
      <c r="C27" s="59"/>
      <c r="D27" s="7"/>
      <c r="E27" s="8" t="s">
        <v>17</v>
      </c>
      <c r="F27" s="6" t="s">
        <v>116</v>
      </c>
      <c r="G27" s="130"/>
      <c r="H27" s="9">
        <f t="shared" si="0"/>
        <v>12.057811485306713</v>
      </c>
      <c r="I27" s="9">
        <f t="shared" si="1"/>
        <v>6.161570858522798</v>
      </c>
      <c r="J27" s="9">
        <f t="shared" si="2"/>
        <v>0.2653302317388822</v>
      </c>
      <c r="K27" s="9">
        <f t="shared" si="3"/>
        <v>0.41157085852279796</v>
      </c>
      <c r="L27" s="9">
        <f t="shared" si="4"/>
        <v>0.5578114853067138</v>
      </c>
      <c r="M27" s="9">
        <f t="shared" si="5"/>
        <v>0.7040521120906296</v>
      </c>
      <c r="N27" s="9">
        <f t="shared" si="6"/>
        <v>0.8502927388745453</v>
      </c>
      <c r="O27" s="9">
        <f t="shared" si="7"/>
        <v>0.9540521120906295</v>
      </c>
      <c r="P27" s="9">
        <f>sunrise(Location!$B$4,Location!$B$5,Location!$B$6,6,A27,Location!$B$7,IF(Location!$B$8="No",0,1))</f>
        <v>0.2653302317388822</v>
      </c>
      <c r="Q27" s="9">
        <f>sunset(Location!$B$4,Location!$B$5,Location!$B$6,6,A27,Location!$B$7,IF(Location!$B$8="No",0,1))</f>
        <v>0.8502927388745453</v>
      </c>
      <c r="R27" s="9">
        <f t="shared" si="8"/>
        <v>0.584962507135663</v>
      </c>
      <c r="S27" s="10">
        <f t="shared" si="9"/>
        <v>0.04874687559463858</v>
      </c>
      <c r="T27" s="9">
        <f t="shared" si="10"/>
        <v>23.415037492864336</v>
      </c>
      <c r="U27" s="10">
        <f t="shared" si="11"/>
        <v>0.034586457738694745</v>
      </c>
    </row>
    <row r="28" spans="1:21" ht="12.75">
      <c r="A28" s="5">
        <v>26</v>
      </c>
      <c r="B28" s="6" t="str">
        <f t="shared" si="14"/>
        <v>Saturday</v>
      </c>
      <c r="C28" s="59"/>
      <c r="D28" s="95" t="s">
        <v>59</v>
      </c>
      <c r="E28" s="8" t="s">
        <v>21</v>
      </c>
      <c r="F28" s="6" t="s">
        <v>117</v>
      </c>
      <c r="G28" s="130"/>
      <c r="H28" s="9">
        <f t="shared" si="0"/>
        <v>12.057953658823914</v>
      </c>
      <c r="I28" s="9">
        <f t="shared" si="1"/>
        <v>6.16174555348178</v>
      </c>
      <c r="J28" s="9">
        <f t="shared" si="2"/>
        <v>0.26553744813964564</v>
      </c>
      <c r="K28" s="9">
        <f t="shared" si="3"/>
        <v>0.4117455534817802</v>
      </c>
      <c r="L28" s="9">
        <f t="shared" si="4"/>
        <v>0.5579536588239148</v>
      </c>
      <c r="M28" s="9">
        <f t="shared" si="5"/>
        <v>0.7041617641660494</v>
      </c>
      <c r="N28" s="9">
        <f t="shared" si="6"/>
        <v>0.8503698695081839</v>
      </c>
      <c r="O28" s="9">
        <f t="shared" si="7"/>
        <v>0.9541617641660494</v>
      </c>
      <c r="P28" s="9">
        <f>sunrise(Location!$B$4,Location!$B$5,Location!$B$6,6,A28,Location!$B$7,IF(Location!$B$8="No",0,1))</f>
        <v>0.26553744813964564</v>
      </c>
      <c r="Q28" s="9">
        <f>sunset(Location!$B$4,Location!$B$5,Location!$B$6,6,A28,Location!$B$7,IF(Location!$B$8="No",0,1))</f>
        <v>0.8503698695081839</v>
      </c>
      <c r="R28" s="9">
        <f t="shared" si="8"/>
        <v>0.5848324213685383</v>
      </c>
      <c r="S28" s="10">
        <f t="shared" si="9"/>
        <v>0.04873603511404486</v>
      </c>
      <c r="T28" s="9">
        <f t="shared" si="10"/>
        <v>23.41516757863146</v>
      </c>
      <c r="U28" s="10">
        <f t="shared" si="11"/>
        <v>0.03459729821928847</v>
      </c>
    </row>
    <row r="29" spans="1:21" ht="12.75">
      <c r="A29" s="5">
        <v>27</v>
      </c>
      <c r="B29" s="6" t="str">
        <f t="shared" si="14"/>
        <v>Sunday</v>
      </c>
      <c r="C29" s="59"/>
      <c r="D29" s="95" t="s">
        <v>61</v>
      </c>
      <c r="E29" s="8" t="s">
        <v>24</v>
      </c>
      <c r="F29" s="6" t="s">
        <v>118</v>
      </c>
      <c r="G29" s="134" t="s">
        <v>291</v>
      </c>
      <c r="H29" s="9">
        <f t="shared" si="0"/>
        <v>12.058094062123049</v>
      </c>
      <c r="I29" s="9">
        <f t="shared" si="1"/>
        <v>6.161925198990281</v>
      </c>
      <c r="J29" s="9">
        <f t="shared" si="2"/>
        <v>0.2657563358575134</v>
      </c>
      <c r="K29" s="9">
        <f t="shared" si="3"/>
        <v>0.41192519899028124</v>
      </c>
      <c r="L29" s="9">
        <f t="shared" si="4"/>
        <v>0.558094062123049</v>
      </c>
      <c r="M29" s="9">
        <f t="shared" si="5"/>
        <v>0.7042629252558168</v>
      </c>
      <c r="N29" s="9">
        <f t="shared" si="6"/>
        <v>0.8504317883885847</v>
      </c>
      <c r="O29" s="9">
        <f t="shared" si="7"/>
        <v>0.9542629252558168</v>
      </c>
      <c r="P29" s="9">
        <f>sunrise(Location!$B$4,Location!$B$5,Location!$B$6,6,A29,Location!$B$7,IF(Location!$B$8="No",0,1))</f>
        <v>0.2657563358575134</v>
      </c>
      <c r="Q29" s="9">
        <f>sunset(Location!$B$4,Location!$B$5,Location!$B$6,6,A29,Location!$B$7,IF(Location!$B$8="No",0,1))</f>
        <v>0.8504317883885847</v>
      </c>
      <c r="R29" s="9">
        <f t="shared" si="8"/>
        <v>0.5846754525310713</v>
      </c>
      <c r="S29" s="10">
        <f t="shared" si="9"/>
        <v>0.04872295437758928</v>
      </c>
      <c r="T29" s="9">
        <f t="shared" si="10"/>
        <v>23.415324547468927</v>
      </c>
      <c r="U29" s="10">
        <f t="shared" si="11"/>
        <v>0.03461037895574405</v>
      </c>
    </row>
    <row r="30" spans="1:21" ht="12.75">
      <c r="A30" s="5">
        <v>28</v>
      </c>
      <c r="B30" s="6" t="str">
        <f t="shared" si="14"/>
        <v>Monday</v>
      </c>
      <c r="C30" s="59"/>
      <c r="D30" s="7"/>
      <c r="E30" s="8" t="s">
        <v>26</v>
      </c>
      <c r="F30" s="6" t="s">
        <v>119</v>
      </c>
      <c r="G30" s="46" t="s">
        <v>139</v>
      </c>
      <c r="H30" s="9">
        <f t="shared" si="0"/>
        <v>12.058232434518626</v>
      </c>
      <c r="I30" s="9">
        <f t="shared" si="1"/>
        <v>6.16210950092239</v>
      </c>
      <c r="J30" s="9">
        <f t="shared" si="2"/>
        <v>0.2659865673261532</v>
      </c>
      <c r="K30" s="9">
        <f t="shared" si="3"/>
        <v>0.4121095009223895</v>
      </c>
      <c r="L30" s="9">
        <f t="shared" si="4"/>
        <v>0.5582324345186258</v>
      </c>
      <c r="M30" s="9">
        <f t="shared" si="5"/>
        <v>0.7043553681148622</v>
      </c>
      <c r="N30" s="9">
        <f t="shared" si="6"/>
        <v>0.8504783017110985</v>
      </c>
      <c r="O30" s="9">
        <f t="shared" si="7"/>
        <v>0.9543553681148622</v>
      </c>
      <c r="P30" s="9">
        <f>sunrise(Location!$B$4,Location!$B$5,Location!$B$6,6,A30,Location!$B$7,IF(Location!$B$8="No",0,1))</f>
        <v>0.2659865673261532</v>
      </c>
      <c r="Q30" s="9">
        <f>sunset(Location!$B$4,Location!$B$5,Location!$B$6,6,A30,Location!$B$7,IF(Location!$B$8="No",0,1))</f>
        <v>0.8504783017110985</v>
      </c>
      <c r="R30" s="9">
        <f t="shared" si="8"/>
        <v>0.5844917343849453</v>
      </c>
      <c r="S30" s="10">
        <f t="shared" si="9"/>
        <v>0.04870764453207877</v>
      </c>
      <c r="T30" s="9">
        <f t="shared" si="10"/>
        <v>23.415508265615056</v>
      </c>
      <c r="U30" s="10">
        <f t="shared" si="11"/>
        <v>0.03462568880125456</v>
      </c>
    </row>
    <row r="31" spans="1:21" ht="12.75">
      <c r="A31" s="5">
        <v>29</v>
      </c>
      <c r="B31" s="6" t="str">
        <f t="shared" si="14"/>
        <v>Tuesday</v>
      </c>
      <c r="C31" s="59"/>
      <c r="D31" s="7"/>
      <c r="E31" s="8" t="s">
        <v>29</v>
      </c>
      <c r="F31" s="6" t="s">
        <v>120</v>
      </c>
      <c r="G31" s="47" t="s">
        <v>220</v>
      </c>
      <c r="H31" s="9">
        <f t="shared" si="0"/>
        <v>12.058368518397076</v>
      </c>
      <c r="I31" s="9">
        <f t="shared" si="1"/>
        <v>6.162298163144838</v>
      </c>
      <c r="J31" s="9">
        <f t="shared" si="2"/>
        <v>0.2662278078926</v>
      </c>
      <c r="K31" s="9">
        <f t="shared" si="3"/>
        <v>0.412298163144838</v>
      </c>
      <c r="L31" s="9">
        <f t="shared" si="4"/>
        <v>0.5583685183970761</v>
      </c>
      <c r="M31" s="9">
        <f t="shared" si="5"/>
        <v>0.7044388736493142</v>
      </c>
      <c r="N31" s="9">
        <f t="shared" si="6"/>
        <v>0.8505092289015523</v>
      </c>
      <c r="O31" s="9">
        <f t="shared" si="7"/>
        <v>0.9544388736493142</v>
      </c>
      <c r="P31" s="9">
        <f>sunrise(Location!$B$4,Location!$B$5,Location!$B$6,6,A31,Location!$B$7,IF(Location!$B$8="No",0,1))</f>
        <v>0.2662278078926</v>
      </c>
      <c r="Q31" s="9">
        <f>sunset(Location!$B$4,Location!$B$5,Location!$B$6,6,A31,Location!$B$7,IF(Location!$B$8="No",0,1))</f>
        <v>0.8505092289015523</v>
      </c>
      <c r="R31" s="9">
        <f t="shared" si="8"/>
        <v>0.5842814210089524</v>
      </c>
      <c r="S31" s="10">
        <f t="shared" si="9"/>
        <v>0.0486901184174127</v>
      </c>
      <c r="T31" s="9">
        <f t="shared" si="10"/>
        <v>23.415718578991047</v>
      </c>
      <c r="U31" s="10">
        <f t="shared" si="11"/>
        <v>0.03464321491592063</v>
      </c>
    </row>
    <row r="32" spans="1:21" ht="12.75">
      <c r="A32" s="5">
        <v>30</v>
      </c>
      <c r="B32" s="6" t="str">
        <f t="shared" si="14"/>
        <v>Wednesday</v>
      </c>
      <c r="C32" s="59"/>
      <c r="D32" s="95" t="s">
        <v>64</v>
      </c>
      <c r="E32" s="8" t="s">
        <v>32</v>
      </c>
      <c r="F32" s="6" t="s">
        <v>78</v>
      </c>
      <c r="G32" s="130"/>
      <c r="H32" s="9">
        <f t="shared" si="0"/>
        <v>12.05850205964836</v>
      </c>
      <c r="I32" s="9">
        <f t="shared" si="1"/>
        <v>6.162490888056738</v>
      </c>
      <c r="J32" s="9">
        <f t="shared" si="2"/>
        <v>0.2664797164651163</v>
      </c>
      <c r="K32" s="9">
        <f t="shared" si="3"/>
        <v>0.4124908880567385</v>
      </c>
      <c r="L32" s="9">
        <f t="shared" si="4"/>
        <v>0.5585020596483607</v>
      </c>
      <c r="M32" s="9">
        <f t="shared" si="5"/>
        <v>0.7045132312399829</v>
      </c>
      <c r="N32" s="9">
        <f t="shared" si="6"/>
        <v>0.850524402831605</v>
      </c>
      <c r="O32" s="9">
        <f t="shared" si="7"/>
        <v>0.9545132312399828</v>
      </c>
      <c r="P32" s="9">
        <f>sunrise(Location!$B$4,Location!$B$5,Location!$B$6,6,A32,Location!$B$7,IF(Location!$B$8="No",0,1))</f>
        <v>0.2664797164651163</v>
      </c>
      <c r="Q32" s="9">
        <f>sunset(Location!$B$4,Location!$B$5,Location!$B$6,6,A32,Location!$B$7,IF(Location!$B$8="No",0,1))</f>
        <v>0.850524402831605</v>
      </c>
      <c r="R32" s="9">
        <f t="shared" si="8"/>
        <v>0.5840446863664888</v>
      </c>
      <c r="S32" s="10">
        <f t="shared" si="9"/>
        <v>0.04867039053054073</v>
      </c>
      <c r="T32" s="9">
        <f t="shared" si="10"/>
        <v>23.41595531363351</v>
      </c>
      <c r="U32" s="10">
        <f t="shared" si="11"/>
        <v>0.0346629428027926</v>
      </c>
    </row>
    <row r="33" ht="12.75">
      <c r="B33" s="6"/>
    </row>
    <row r="34" spans="2:5" ht="12.75">
      <c r="B34" s="6"/>
      <c r="E34" s="11"/>
    </row>
    <row r="35" spans="1:5" ht="12.75">
      <c r="A35" s="6"/>
      <c r="E35" s="13"/>
    </row>
    <row r="36" spans="2:5" ht="12.75">
      <c r="B36" s="6"/>
      <c r="E36" s="13"/>
    </row>
    <row r="37" spans="3:5" ht="12.75">
      <c r="C37" s="58" t="str">
        <f>IF(Location!B9="No",Location!C13,Location!C14)</f>
        <v>C</v>
      </c>
      <c r="D37" s="52"/>
      <c r="E37" s="13"/>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V37"/>
  <sheetViews>
    <sheetView tabSelected="1"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G27" sqref="G27"/>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22" width="9.140625" style="19" customWidth="1"/>
    <col min="23" max="16384" width="9.140625" style="4" customWidth="1"/>
  </cols>
  <sheetData>
    <row r="1" spans="1:21" ht="23.25">
      <c r="A1" s="121" t="s">
        <v>175</v>
      </c>
      <c r="B1" s="122"/>
      <c r="C1" s="127"/>
      <c r="D1" s="123" t="str">
        <f>ROMAN(Location!$B$6)</f>
        <v>MMX</v>
      </c>
      <c r="E1" s="122"/>
      <c r="F1" s="122"/>
      <c r="G1" s="122"/>
      <c r="H1" s="124"/>
      <c r="I1" s="124"/>
      <c r="J1" s="124"/>
      <c r="K1" s="124"/>
      <c r="L1" s="124"/>
      <c r="M1" s="124"/>
      <c r="N1" s="124"/>
      <c r="O1" s="124"/>
      <c r="P1" s="125"/>
      <c r="Q1" s="122"/>
      <c r="R1" s="124"/>
      <c r="S1" s="124"/>
      <c r="T1" s="124"/>
      <c r="U1" s="126"/>
    </row>
    <row r="2" spans="1:21" ht="12.75">
      <c r="A2" s="151"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Iunius!B26</f>
        <v>Thursday</v>
      </c>
      <c r="C3" s="59"/>
      <c r="D3" s="95" t="s">
        <v>67</v>
      </c>
      <c r="E3" s="8" t="s">
        <v>36</v>
      </c>
      <c r="F3" s="6" t="s">
        <v>18</v>
      </c>
      <c r="G3" s="150"/>
      <c r="H3" s="9">
        <f aca="true" t="shared" si="0" ref="H3:H33">(T3/2)+Q3-"12:00:00"</f>
        <v>12.058632808088184</v>
      </c>
      <c r="I3" s="9">
        <f aca="true" t="shared" si="1" ref="I3:I33">H3+((J3-H3)/2)</f>
        <v>6.16268737713251</v>
      </c>
      <c r="J3" s="9">
        <f aca="true" t="shared" si="2" ref="J3:J33">P3</f>
        <v>0.26674194617683633</v>
      </c>
      <c r="K3" s="9">
        <f aca="true" t="shared" si="3" ref="K3:K33">J3+((L3-J3)/2)</f>
        <v>0.4126873771325109</v>
      </c>
      <c r="L3" s="9">
        <f aca="true" t="shared" si="4" ref="L3:L33">(R3/2)+J3</f>
        <v>0.5586328080881855</v>
      </c>
      <c r="M3" s="9">
        <f aca="true" t="shared" si="5" ref="M3:M33">((N3-L3)/2)+L3</f>
        <v>0.70457823904386</v>
      </c>
      <c r="N3" s="9">
        <f aca="true" t="shared" si="6" ref="N3:N33">Q3</f>
        <v>0.8505236699995345</v>
      </c>
      <c r="O3" s="9">
        <f aca="true" t="shared" si="7" ref="O3:O33">3*U3+N3</f>
        <v>0.95457823904386</v>
      </c>
      <c r="P3" s="9">
        <f>sunrise(Location!$B$4,Location!$B$5,Location!$B$6,7,A3,Location!$B$7,IF(Location!$B$8="No",0,1))</f>
        <v>0.26674194617683633</v>
      </c>
      <c r="Q3" s="9">
        <f>sunset(Location!$B$4,Location!$B$5,Location!$B$6,7,A3,Location!$B$7,IF(Location!$B$8="No",0,1))</f>
        <v>0.8505236699995345</v>
      </c>
      <c r="R3" s="9">
        <f aca="true" t="shared" si="8" ref="R3:R33">Q3-P3</f>
        <v>0.5837817238226982</v>
      </c>
      <c r="S3" s="10">
        <f aca="true" t="shared" si="9" ref="S3:S33">R3/12</f>
        <v>0.04864847698522485</v>
      </c>
      <c r="T3" s="9">
        <f aca="true" t="shared" si="10" ref="T3:T33">(24-(Q3-P3))</f>
        <v>23.4162182761773</v>
      </c>
      <c r="U3" s="10">
        <f aca="true" t="shared" si="11" ref="U3:U33">"1:00:00"-S3+"1:00:00"</f>
        <v>0.03468485634810848</v>
      </c>
    </row>
    <row r="4" spans="1:21" ht="12.75">
      <c r="A4" s="5">
        <v>2</v>
      </c>
      <c r="B4" s="6" t="str">
        <f>Iunius!B27</f>
        <v>Friday</v>
      </c>
      <c r="C4" s="59"/>
      <c r="D4" s="95" t="s">
        <v>69</v>
      </c>
      <c r="E4" s="8" t="s">
        <v>17</v>
      </c>
      <c r="F4" s="6" t="s">
        <v>90</v>
      </c>
      <c r="G4" s="130"/>
      <c r="H4" s="9">
        <f t="shared" si="0"/>
        <v>12.058760517870555</v>
      </c>
      <c r="I4" s="9">
        <f t="shared" si="1"/>
        <v>6.1628873314675054</v>
      </c>
      <c r="J4" s="9">
        <f t="shared" si="2"/>
        <v>0.2670141450644567</v>
      </c>
      <c r="K4" s="9">
        <f t="shared" si="3"/>
        <v>0.4128873314675061</v>
      </c>
      <c r="L4" s="9">
        <f t="shared" si="4"/>
        <v>0.5587605178705555</v>
      </c>
      <c r="M4" s="9">
        <f t="shared" si="5"/>
        <v>0.7046337042736048</v>
      </c>
      <c r="N4" s="9">
        <f t="shared" si="6"/>
        <v>0.8505068906766542</v>
      </c>
      <c r="O4" s="9">
        <f t="shared" si="7"/>
        <v>0.9546337042736048</v>
      </c>
      <c r="P4" s="9">
        <f>sunrise(Location!$B$4,Location!$B$5,Location!$B$6,7,A4,Location!$B$7,IF(Location!$B$8="No",0,1))</f>
        <v>0.2670141450644567</v>
      </c>
      <c r="Q4" s="9">
        <f>sunset(Location!$B$4,Location!$B$5,Location!$B$6,7,A4,Location!$B$7,IF(Location!$B$8="No",0,1))</f>
        <v>0.8505068906766542</v>
      </c>
      <c r="R4" s="9">
        <f t="shared" si="8"/>
        <v>0.5834927456121974</v>
      </c>
      <c r="S4" s="10">
        <f t="shared" si="9"/>
        <v>0.04862439546768312</v>
      </c>
      <c r="T4" s="9">
        <f t="shared" si="10"/>
        <v>23.416507254387803</v>
      </c>
      <c r="U4" s="10">
        <f t="shared" si="11"/>
        <v>0.034708937865650207</v>
      </c>
    </row>
    <row r="5" spans="1:21" ht="12.75">
      <c r="A5" s="5">
        <v>3</v>
      </c>
      <c r="B5" s="6" t="str">
        <f>Iunius!B28</f>
        <v>Saturday</v>
      </c>
      <c r="C5" s="59"/>
      <c r="D5" s="7"/>
      <c r="E5" s="8" t="s">
        <v>21</v>
      </c>
      <c r="F5" s="6" t="s">
        <v>92</v>
      </c>
      <c r="G5" s="130"/>
      <c r="H5" s="9">
        <f t="shared" si="0"/>
        <v>12.058884947889782</v>
      </c>
      <c r="I5" s="9">
        <f t="shared" si="1"/>
        <v>6.163090452324771</v>
      </c>
      <c r="J5" s="9">
        <f t="shared" si="2"/>
        <v>0.2672959567597603</v>
      </c>
      <c r="K5" s="9">
        <f t="shared" si="3"/>
        <v>0.4130904523247705</v>
      </c>
      <c r="L5" s="9">
        <f t="shared" si="4"/>
        <v>0.5588849478897806</v>
      </c>
      <c r="M5" s="9">
        <f t="shared" si="5"/>
        <v>0.7046794434547907</v>
      </c>
      <c r="N5" s="9">
        <f t="shared" si="6"/>
        <v>0.8504739390198008</v>
      </c>
      <c r="O5" s="9">
        <f t="shared" si="7"/>
        <v>0.9546794434547907</v>
      </c>
      <c r="P5" s="9">
        <f>sunrise(Location!$B$4,Location!$B$5,Location!$B$6,7,A5,Location!$B$7,IF(Location!$B$8="No",0,1))</f>
        <v>0.2672959567597603</v>
      </c>
      <c r="Q5" s="9">
        <f>sunset(Location!$B$4,Location!$B$5,Location!$B$6,7,A5,Location!$B$7,IF(Location!$B$8="No",0,1))</f>
        <v>0.8504739390198008</v>
      </c>
      <c r="R5" s="9">
        <f t="shared" si="8"/>
        <v>0.5831779822600405</v>
      </c>
      <c r="S5" s="10">
        <f t="shared" si="9"/>
        <v>0.048598165188336706</v>
      </c>
      <c r="T5" s="9">
        <f t="shared" si="10"/>
        <v>23.41682201773996</v>
      </c>
      <c r="U5" s="10">
        <f t="shared" si="11"/>
        <v>0.03473516814499662</v>
      </c>
    </row>
    <row r="6" spans="1:21" ht="12.75">
      <c r="A6" s="5">
        <v>4</v>
      </c>
      <c r="B6" s="6" t="str">
        <f>Iunius!B29</f>
        <v>Sunday</v>
      </c>
      <c r="C6" s="59"/>
      <c r="D6" s="95" t="s">
        <v>72</v>
      </c>
      <c r="E6" s="8" t="s">
        <v>24</v>
      </c>
      <c r="F6" s="6" t="s">
        <v>93</v>
      </c>
      <c r="G6" s="134" t="s">
        <v>292</v>
      </c>
      <c r="H6" s="9">
        <f t="shared" si="0"/>
        <v>12.059005862169938</v>
      </c>
      <c r="I6" s="9">
        <f t="shared" si="1"/>
        <v>6.163296441679663</v>
      </c>
      <c r="J6" s="9">
        <f t="shared" si="2"/>
        <v>0.2675870211893889</v>
      </c>
      <c r="K6" s="9">
        <f t="shared" si="3"/>
        <v>0.4132964416796642</v>
      </c>
      <c r="L6" s="9">
        <f t="shared" si="4"/>
        <v>0.5590058621699394</v>
      </c>
      <c r="M6" s="9">
        <f t="shared" si="5"/>
        <v>0.7047152826602148</v>
      </c>
      <c r="N6" s="9">
        <f t="shared" si="6"/>
        <v>0.85042470315049</v>
      </c>
      <c r="O6" s="9">
        <f t="shared" si="7"/>
        <v>0.9547152826602147</v>
      </c>
      <c r="P6" s="9">
        <f>sunrise(Location!$B$4,Location!$B$5,Location!$B$6,7,A6,Location!$B$7,IF(Location!$B$8="No",0,1))</f>
        <v>0.2675870211893889</v>
      </c>
      <c r="Q6" s="9">
        <f>sunset(Location!$B$4,Location!$B$5,Location!$B$6,7,A6,Location!$B$7,IF(Location!$B$8="No",0,1))</f>
        <v>0.85042470315049</v>
      </c>
      <c r="R6" s="9">
        <f t="shared" si="8"/>
        <v>0.5828376819611012</v>
      </c>
      <c r="S6" s="10">
        <f t="shared" si="9"/>
        <v>0.048569806830091766</v>
      </c>
      <c r="T6" s="9">
        <f t="shared" si="10"/>
        <v>23.417162318038898</v>
      </c>
      <c r="U6" s="10">
        <f t="shared" si="11"/>
        <v>0.03476352650324156</v>
      </c>
    </row>
    <row r="7" spans="1:21" ht="12.75">
      <c r="A7" s="5">
        <v>5</v>
      </c>
      <c r="B7" s="6" t="str">
        <f>Iunius!B30</f>
        <v>Monday</v>
      </c>
      <c r="C7" s="59"/>
      <c r="D7" s="95" t="s">
        <v>75</v>
      </c>
      <c r="E7" s="8" t="s">
        <v>26</v>
      </c>
      <c r="F7" s="6" t="s">
        <v>94</v>
      </c>
      <c r="G7" s="130"/>
      <c r="H7" s="9">
        <f t="shared" si="0"/>
        <v>12.059123030242302</v>
      </c>
      <c r="I7" s="9">
        <f t="shared" si="1"/>
        <v>6.163505002762745</v>
      </c>
      <c r="J7" s="9">
        <f t="shared" si="2"/>
        <v>0.26788697528318817</v>
      </c>
      <c r="K7" s="9">
        <f t="shared" si="3"/>
        <v>0.4135050027627452</v>
      </c>
      <c r="L7" s="9">
        <f t="shared" si="4"/>
        <v>0.5591230302423023</v>
      </c>
      <c r="M7" s="9">
        <f t="shared" si="5"/>
        <v>0.7047410577218594</v>
      </c>
      <c r="N7" s="9">
        <f t="shared" si="6"/>
        <v>0.8503590852014165</v>
      </c>
      <c r="O7" s="9">
        <f t="shared" si="7"/>
        <v>0.9547410577218594</v>
      </c>
      <c r="P7" s="9">
        <f>sunrise(Location!$B$4,Location!$B$5,Location!$B$6,7,A7,Location!$B$7,IF(Location!$B$8="No",0,1))</f>
        <v>0.26788697528318817</v>
      </c>
      <c r="Q7" s="9">
        <f>sunset(Location!$B$4,Location!$B$5,Location!$B$6,7,A7,Location!$B$7,IF(Location!$B$8="No",0,1))</f>
        <v>0.8503590852014165</v>
      </c>
      <c r="R7" s="9">
        <f t="shared" si="8"/>
        <v>0.5824721099182283</v>
      </c>
      <c r="S7" s="10">
        <f t="shared" si="9"/>
        <v>0.04853934249318569</v>
      </c>
      <c r="T7" s="9">
        <f t="shared" si="10"/>
        <v>23.41752789008177</v>
      </c>
      <c r="U7" s="10">
        <f t="shared" si="11"/>
        <v>0.034793990840147636</v>
      </c>
    </row>
    <row r="8" spans="1:21" ht="12.75">
      <c r="A8" s="5">
        <v>6</v>
      </c>
      <c r="B8" s="6" t="str">
        <f>Iunius!B31</f>
        <v>Tuesday</v>
      </c>
      <c r="C8" s="59"/>
      <c r="D8" s="7"/>
      <c r="E8" s="8" t="s">
        <v>29</v>
      </c>
      <c r="F8" s="6" t="s">
        <v>27</v>
      </c>
      <c r="G8" s="130"/>
      <c r="H8" s="9">
        <f t="shared" si="0"/>
        <v>12.059236227508547</v>
      </c>
      <c r="I8" s="9">
        <f t="shared" si="1"/>
        <v>6.163715840597249</v>
      </c>
      <c r="J8" s="9">
        <f t="shared" si="2"/>
        <v>0.26819545368595216</v>
      </c>
      <c r="K8" s="9">
        <f t="shared" si="3"/>
        <v>0.41371584059725</v>
      </c>
      <c r="L8" s="9">
        <f t="shared" si="4"/>
        <v>0.5592362275085478</v>
      </c>
      <c r="M8" s="9">
        <f t="shared" si="5"/>
        <v>0.7047566144198456</v>
      </c>
      <c r="N8" s="9">
        <f t="shared" si="6"/>
        <v>0.8502770013311434</v>
      </c>
      <c r="O8" s="9">
        <f t="shared" si="7"/>
        <v>0.9547566144198455</v>
      </c>
      <c r="P8" s="9">
        <f>sunrise(Location!$B$4,Location!$B$5,Location!$B$6,7,A8,Location!$B$7,IF(Location!$B$8="No",0,1))</f>
        <v>0.26819545368595216</v>
      </c>
      <c r="Q8" s="9">
        <f>sunset(Location!$B$4,Location!$B$5,Location!$B$6,7,A8,Location!$B$7,IF(Location!$B$8="No",0,1))</f>
        <v>0.8502770013311434</v>
      </c>
      <c r="R8" s="9">
        <f t="shared" si="8"/>
        <v>0.5820815476451913</v>
      </c>
      <c r="S8" s="10">
        <f t="shared" si="9"/>
        <v>0.048506795637099274</v>
      </c>
      <c r="T8" s="9">
        <f t="shared" si="10"/>
        <v>23.417918452354808</v>
      </c>
      <c r="U8" s="10">
        <f t="shared" si="11"/>
        <v>0.034826537696234054</v>
      </c>
    </row>
    <row r="9" spans="1:21" ht="12.75">
      <c r="A9" s="5">
        <v>7</v>
      </c>
      <c r="B9" s="6" t="str">
        <f>Iunius!B32</f>
        <v>Wednesday</v>
      </c>
      <c r="C9" s="59"/>
      <c r="D9" s="95" t="s">
        <v>20</v>
      </c>
      <c r="E9" s="8" t="s">
        <v>32</v>
      </c>
      <c r="F9" s="6" t="s">
        <v>30</v>
      </c>
      <c r="G9" s="130"/>
      <c r="H9" s="9">
        <f t="shared" si="0"/>
        <v>12.059345235589609</v>
      </c>
      <c r="I9" s="9">
        <f t="shared" si="1"/>
        <v>6.163928662530472</v>
      </c>
      <c r="J9" s="9">
        <f t="shared" si="2"/>
        <v>0.26851208947133387</v>
      </c>
      <c r="K9" s="9">
        <f t="shared" si="3"/>
        <v>0.41392866253047106</v>
      </c>
      <c r="L9" s="9">
        <f t="shared" si="4"/>
        <v>0.5593452355896082</v>
      </c>
      <c r="M9" s="9">
        <f t="shared" si="5"/>
        <v>0.7047618086487454</v>
      </c>
      <c r="N9" s="9">
        <f t="shared" si="6"/>
        <v>0.8501783817078825</v>
      </c>
      <c r="O9" s="9">
        <f t="shared" si="7"/>
        <v>0.9547618086487453</v>
      </c>
      <c r="P9" s="9">
        <f>sunrise(Location!$B$4,Location!$B$5,Location!$B$6,7,A9,Location!$B$7,IF(Location!$B$8="No",0,1))</f>
        <v>0.26851208947133387</v>
      </c>
      <c r="Q9" s="9">
        <f>sunset(Location!$B$4,Location!$B$5,Location!$B$6,7,A9,Location!$B$7,IF(Location!$B$8="No",0,1))</f>
        <v>0.8501783817078825</v>
      </c>
      <c r="R9" s="9">
        <f t="shared" si="8"/>
        <v>0.5816662922365486</v>
      </c>
      <c r="S9" s="10">
        <f t="shared" si="9"/>
        <v>0.04847219101971239</v>
      </c>
      <c r="T9" s="9">
        <f t="shared" si="10"/>
        <v>23.418333707763452</v>
      </c>
      <c r="U9" s="10">
        <f t="shared" si="11"/>
        <v>0.03486114231362094</v>
      </c>
    </row>
    <row r="10" spans="1:21" ht="12.75">
      <c r="A10" s="5">
        <v>8</v>
      </c>
      <c r="B10" s="6" t="str">
        <f aca="true" t="shared" si="12" ref="B10:B16">B3</f>
        <v>Thursday</v>
      </c>
      <c r="C10" s="59"/>
      <c r="D10" s="7"/>
      <c r="E10" s="8" t="s">
        <v>36</v>
      </c>
      <c r="F10" s="6" t="s">
        <v>95</v>
      </c>
      <c r="G10" s="130"/>
      <c r="H10" s="9">
        <f t="shared" si="0"/>
        <v>12.059449842659149</v>
      </c>
      <c r="I10" s="9">
        <f t="shared" si="1"/>
        <v>6.164143178756962</v>
      </c>
      <c r="J10" s="9">
        <f t="shared" si="2"/>
        <v>0.26883651485477544</v>
      </c>
      <c r="K10" s="9">
        <f t="shared" si="3"/>
        <v>0.414143178756962</v>
      </c>
      <c r="L10" s="9">
        <f t="shared" si="4"/>
        <v>0.5594498426591485</v>
      </c>
      <c r="M10" s="9">
        <f t="shared" si="5"/>
        <v>0.704756506561335</v>
      </c>
      <c r="N10" s="9">
        <f t="shared" si="6"/>
        <v>0.8500631704635215</v>
      </c>
      <c r="O10" s="9">
        <f t="shared" si="7"/>
        <v>0.954756506561335</v>
      </c>
      <c r="P10" s="9">
        <f>sunrise(Location!$B$4,Location!$B$5,Location!$B$6,7,A10,Location!$B$7,IF(Location!$B$8="No",0,1))</f>
        <v>0.26883651485477544</v>
      </c>
      <c r="Q10" s="9">
        <f>sunset(Location!$B$4,Location!$B$5,Location!$B$6,7,A10,Location!$B$7,IF(Location!$B$8="No",0,1))</f>
        <v>0.8500631704635215</v>
      </c>
      <c r="R10" s="9">
        <f t="shared" si="8"/>
        <v>0.5812266556087461</v>
      </c>
      <c r="S10" s="10">
        <f t="shared" si="9"/>
        <v>0.048435554634062176</v>
      </c>
      <c r="T10" s="9">
        <f t="shared" si="10"/>
        <v>23.418773344391255</v>
      </c>
      <c r="U10" s="10">
        <f t="shared" si="11"/>
        <v>0.03489777869927115</v>
      </c>
    </row>
    <row r="11" spans="1:21" ht="12.75">
      <c r="A11" s="5">
        <v>9</v>
      </c>
      <c r="B11" s="6" t="str">
        <f t="shared" si="12"/>
        <v>Friday</v>
      </c>
      <c r="C11" s="59"/>
      <c r="D11" s="95" t="s">
        <v>23</v>
      </c>
      <c r="E11" s="8" t="s">
        <v>17</v>
      </c>
      <c r="F11" s="6" t="s">
        <v>96</v>
      </c>
      <c r="G11" s="130"/>
      <c r="H11" s="9">
        <f t="shared" si="0"/>
        <v>12.059549843761149</v>
      </c>
      <c r="I11" s="9">
        <f t="shared" si="1"/>
        <v>6.164359102832213</v>
      </c>
      <c r="J11" s="9">
        <f t="shared" si="2"/>
        <v>0.26916836190327686</v>
      </c>
      <c r="K11" s="9">
        <f t="shared" si="3"/>
        <v>0.41435910283221256</v>
      </c>
      <c r="L11" s="9">
        <f t="shared" si="4"/>
        <v>0.5595498437611482</v>
      </c>
      <c r="M11" s="9">
        <f t="shared" si="5"/>
        <v>0.7047405846900839</v>
      </c>
      <c r="N11" s="9">
        <f t="shared" si="6"/>
        <v>0.8499313256190196</v>
      </c>
      <c r="O11" s="9">
        <f t="shared" si="7"/>
        <v>0.9547405846900839</v>
      </c>
      <c r="P11" s="9">
        <f>sunrise(Location!$B$4,Location!$B$5,Location!$B$6,7,A11,Location!$B$7,IF(Location!$B$8="No",0,1))</f>
        <v>0.26916836190327686</v>
      </c>
      <c r="Q11" s="9">
        <f>sunset(Location!$B$4,Location!$B$5,Location!$B$6,7,A11,Location!$B$7,IF(Location!$B$8="No",0,1))</f>
        <v>0.8499313256190196</v>
      </c>
      <c r="R11" s="9">
        <f t="shared" si="8"/>
        <v>0.5807629637157428</v>
      </c>
      <c r="S11" s="10">
        <f t="shared" si="9"/>
        <v>0.048396913642978566</v>
      </c>
      <c r="T11" s="9">
        <f t="shared" si="10"/>
        <v>23.419237036284258</v>
      </c>
      <c r="U11" s="10">
        <f t="shared" si="11"/>
        <v>0.03493641969035476</v>
      </c>
    </row>
    <row r="12" spans="1:21" ht="12.75">
      <c r="A12" s="5">
        <v>10</v>
      </c>
      <c r="B12" s="6" t="str">
        <f t="shared" si="12"/>
        <v>Saturday</v>
      </c>
      <c r="C12" s="59"/>
      <c r="D12" s="95" t="s">
        <v>28</v>
      </c>
      <c r="E12" s="8" t="s">
        <v>21</v>
      </c>
      <c r="F12" s="6" t="s">
        <v>97</v>
      </c>
      <c r="G12" s="130"/>
      <c r="H12" s="9">
        <f t="shared" si="0"/>
        <v>12.059645041110462</v>
      </c>
      <c r="I12" s="9">
        <f t="shared" si="1"/>
        <v>6.164576152174579</v>
      </c>
      <c r="J12" s="9">
        <f t="shared" si="2"/>
        <v>0.2695072632386952</v>
      </c>
      <c r="K12" s="9">
        <f t="shared" si="3"/>
        <v>0.41457615217457905</v>
      </c>
      <c r="L12" s="9">
        <f t="shared" si="4"/>
        <v>0.5596450411104629</v>
      </c>
      <c r="M12" s="9">
        <f t="shared" si="5"/>
        <v>0.7047139300463467</v>
      </c>
      <c r="N12" s="9">
        <f t="shared" si="6"/>
        <v>0.8497828189822305</v>
      </c>
      <c r="O12" s="9">
        <f t="shared" si="7"/>
        <v>0.9547139300463466</v>
      </c>
      <c r="P12" s="9">
        <f>sunrise(Location!$B$4,Location!$B$5,Location!$B$6,7,A12,Location!$B$7,IF(Location!$B$8="No",0,1))</f>
        <v>0.2695072632386952</v>
      </c>
      <c r="Q12" s="9">
        <f>sunset(Location!$B$4,Location!$B$5,Location!$B$6,7,A12,Location!$B$7,IF(Location!$B$8="No",0,1))</f>
        <v>0.8497828189822305</v>
      </c>
      <c r="R12" s="9">
        <f t="shared" si="8"/>
        <v>0.5802755557435353</v>
      </c>
      <c r="S12" s="10">
        <f t="shared" si="9"/>
        <v>0.048356296311961276</v>
      </c>
      <c r="T12" s="9">
        <f t="shared" si="10"/>
        <v>23.419724444256463</v>
      </c>
      <c r="U12" s="10">
        <f t="shared" si="11"/>
        <v>0.03497703702137205</v>
      </c>
    </row>
    <row r="13" spans="1:21" ht="12.75">
      <c r="A13" s="5">
        <v>11</v>
      </c>
      <c r="B13" s="6" t="str">
        <f t="shared" si="12"/>
        <v>Sunday</v>
      </c>
      <c r="C13" s="59"/>
      <c r="D13" s="7"/>
      <c r="E13" s="8" t="s">
        <v>24</v>
      </c>
      <c r="F13" s="6" t="s">
        <v>98</v>
      </c>
      <c r="G13" s="134" t="s">
        <v>293</v>
      </c>
      <c r="H13" s="9">
        <f t="shared" si="0"/>
        <v>12.059735244376103</v>
      </c>
      <c r="I13" s="9">
        <f t="shared" si="1"/>
        <v>6.164794048554368</v>
      </c>
      <c r="J13" s="9">
        <f t="shared" si="2"/>
        <v>0.26985285273263226</v>
      </c>
      <c r="K13" s="9">
        <f t="shared" si="3"/>
        <v>0.4147940485543675</v>
      </c>
      <c r="L13" s="9">
        <f t="shared" si="4"/>
        <v>0.5597352443761028</v>
      </c>
      <c r="M13" s="9">
        <f t="shared" si="5"/>
        <v>0.704676440197838</v>
      </c>
      <c r="N13" s="9">
        <f t="shared" si="6"/>
        <v>0.8496176360195732</v>
      </c>
      <c r="O13" s="9">
        <f t="shared" si="7"/>
        <v>0.9546764401978379</v>
      </c>
      <c r="P13" s="9">
        <f>sunrise(Location!$B$4,Location!$B$5,Location!$B$6,7,A13,Location!$B$7,IF(Location!$B$8="No",0,1))</f>
        <v>0.26985285273263226</v>
      </c>
      <c r="Q13" s="9">
        <f>sunset(Location!$B$4,Location!$B$5,Location!$B$6,7,A13,Location!$B$7,IF(Location!$B$8="No",0,1))</f>
        <v>0.8496176360195732</v>
      </c>
      <c r="R13" s="9">
        <f t="shared" si="8"/>
        <v>0.5797647832869409</v>
      </c>
      <c r="S13" s="10">
        <f t="shared" si="9"/>
        <v>0.04831373194057841</v>
      </c>
      <c r="T13" s="9">
        <f t="shared" si="10"/>
        <v>23.42023521671306</v>
      </c>
      <c r="U13" s="10">
        <f t="shared" si="11"/>
        <v>0.035019601392754916</v>
      </c>
    </row>
    <row r="14" spans="1:21" ht="12.75">
      <c r="A14" s="5">
        <v>12</v>
      </c>
      <c r="B14" s="6" t="str">
        <f t="shared" si="12"/>
        <v>Monday</v>
      </c>
      <c r="C14" s="59"/>
      <c r="D14" s="95" t="s">
        <v>35</v>
      </c>
      <c r="E14" s="8" t="s">
        <v>26</v>
      </c>
      <c r="F14" s="6" t="s">
        <v>99</v>
      </c>
      <c r="G14" s="130"/>
      <c r="H14" s="9">
        <f t="shared" si="0"/>
        <v>12.059820270946926</v>
      </c>
      <c r="I14" s="9">
        <f t="shared" si="1"/>
        <v>6.165012518568962</v>
      </c>
      <c r="J14" s="9">
        <f t="shared" si="2"/>
        <v>0.270204766190998</v>
      </c>
      <c r="K14" s="9">
        <f t="shared" si="3"/>
        <v>0.4150125185689617</v>
      </c>
      <c r="L14" s="9">
        <f t="shared" si="4"/>
        <v>0.5598202709469254</v>
      </c>
      <c r="M14" s="9">
        <f t="shared" si="5"/>
        <v>0.7046280233248892</v>
      </c>
      <c r="N14" s="9">
        <f t="shared" si="6"/>
        <v>0.8494357757028529</v>
      </c>
      <c r="O14" s="9">
        <f t="shared" si="7"/>
        <v>0.9546280233248892</v>
      </c>
      <c r="P14" s="9">
        <f>sunrise(Location!$B$4,Location!$B$5,Location!$B$6,7,A14,Location!$B$7,IF(Location!$B$8="No",0,1))</f>
        <v>0.270204766190998</v>
      </c>
      <c r="Q14" s="9">
        <f>sunset(Location!$B$4,Location!$B$5,Location!$B$6,7,A14,Location!$B$7,IF(Location!$B$8="No",0,1))</f>
        <v>0.8494357757028529</v>
      </c>
      <c r="R14" s="9">
        <f t="shared" si="8"/>
        <v>0.5792310095118549</v>
      </c>
      <c r="S14" s="10">
        <f t="shared" si="9"/>
        <v>0.048269250792654574</v>
      </c>
      <c r="T14" s="9">
        <f t="shared" si="10"/>
        <v>23.420768990488146</v>
      </c>
      <c r="U14" s="10">
        <f t="shared" si="11"/>
        <v>0.035064082540678755</v>
      </c>
    </row>
    <row r="15" spans="1:21" ht="12.75">
      <c r="A15" s="5">
        <v>13</v>
      </c>
      <c r="B15" s="6" t="str">
        <f t="shared" si="12"/>
        <v>Tuesday</v>
      </c>
      <c r="C15" s="59"/>
      <c r="D15" s="95" t="s">
        <v>38</v>
      </c>
      <c r="E15" s="8" t="s">
        <v>29</v>
      </c>
      <c r="F15" s="6" t="s">
        <v>101</v>
      </c>
      <c r="G15" s="130"/>
      <c r="H15" s="9">
        <f t="shared" si="0"/>
        <v>12.059899946178426</v>
      </c>
      <c r="I15" s="9">
        <f t="shared" si="1"/>
        <v>6.165231294101189</v>
      </c>
      <c r="J15" s="9">
        <f t="shared" si="2"/>
        <v>0.27056264202395136</v>
      </c>
      <c r="K15" s="9">
        <f t="shared" si="3"/>
        <v>0.41523129410118853</v>
      </c>
      <c r="L15" s="9">
        <f t="shared" si="4"/>
        <v>0.5598999461784258</v>
      </c>
      <c r="M15" s="9">
        <f t="shared" si="5"/>
        <v>0.7045685982556631</v>
      </c>
      <c r="N15" s="9">
        <f t="shared" si="6"/>
        <v>0.8492372503329003</v>
      </c>
      <c r="O15" s="9">
        <f t="shared" si="7"/>
        <v>0.9545685982556631</v>
      </c>
      <c r="P15" s="9">
        <f>sunrise(Location!$B$4,Location!$B$5,Location!$B$6,7,A15,Location!$B$7,IF(Location!$B$8="No",0,1))</f>
        <v>0.27056264202395136</v>
      </c>
      <c r="Q15" s="9">
        <f>sunset(Location!$B$4,Location!$B$5,Location!$B$6,7,A15,Location!$B$7,IF(Location!$B$8="No",0,1))</f>
        <v>0.8492372503329003</v>
      </c>
      <c r="R15" s="9">
        <f t="shared" si="8"/>
        <v>0.5786746083089489</v>
      </c>
      <c r="S15" s="10">
        <f t="shared" si="9"/>
        <v>0.04822288402574574</v>
      </c>
      <c r="T15" s="9">
        <f t="shared" si="10"/>
        <v>23.421325391691052</v>
      </c>
      <c r="U15" s="10">
        <f t="shared" si="11"/>
        <v>0.03511044930758759</v>
      </c>
    </row>
    <row r="16" spans="1:21" ht="12.75">
      <c r="A16" s="5">
        <v>14</v>
      </c>
      <c r="B16" s="6" t="str">
        <f t="shared" si="12"/>
        <v>Wednesday</v>
      </c>
      <c r="C16" s="59"/>
      <c r="D16" s="7"/>
      <c r="E16" s="8" t="s">
        <v>32</v>
      </c>
      <c r="F16" s="6" t="s">
        <v>46</v>
      </c>
      <c r="G16" s="130"/>
      <c r="H16" s="9">
        <f t="shared" si="0"/>
        <v>12.059974103620883</v>
      </c>
      <c r="I16" s="9">
        <f t="shared" si="1"/>
        <v>6.16545011276104</v>
      </c>
      <c r="J16" s="9">
        <f t="shared" si="2"/>
        <v>0.2709261219011971</v>
      </c>
      <c r="K16" s="9">
        <f t="shared" si="3"/>
        <v>0.41545011276104016</v>
      </c>
      <c r="L16" s="9">
        <f t="shared" si="4"/>
        <v>0.5599741036208832</v>
      </c>
      <c r="M16" s="9">
        <f t="shared" si="5"/>
        <v>0.7044980944807262</v>
      </c>
      <c r="N16" s="9">
        <f t="shared" si="6"/>
        <v>0.8490220853405693</v>
      </c>
      <c r="O16" s="9">
        <f t="shared" si="7"/>
        <v>0.9544980944807262</v>
      </c>
      <c r="P16" s="9">
        <f>sunrise(Location!$B$4,Location!$B$5,Location!$B$6,7,A16,Location!$B$7,IF(Location!$B$8="No",0,1))</f>
        <v>0.2709261219011971</v>
      </c>
      <c r="Q16" s="9">
        <f>sunset(Location!$B$4,Location!$B$5,Location!$B$6,7,A16,Location!$B$7,IF(Location!$B$8="No",0,1))</f>
        <v>0.8490220853405693</v>
      </c>
      <c r="R16" s="9">
        <f t="shared" si="8"/>
        <v>0.5780959634393723</v>
      </c>
      <c r="S16" s="10">
        <f t="shared" si="9"/>
        <v>0.04817466361994769</v>
      </c>
      <c r="T16" s="9">
        <f t="shared" si="10"/>
        <v>23.421904036560626</v>
      </c>
      <c r="U16" s="10">
        <f t="shared" si="11"/>
        <v>0.03515866971338564</v>
      </c>
    </row>
    <row r="17" spans="1:21" ht="12.75">
      <c r="A17" s="5">
        <v>15</v>
      </c>
      <c r="B17" s="6" t="str">
        <f aca="true" t="shared" si="13" ref="B17:B23">B3</f>
        <v>Thursday</v>
      </c>
      <c r="C17" s="59"/>
      <c r="D17" s="95" t="s">
        <v>40</v>
      </c>
      <c r="E17" s="8" t="s">
        <v>36</v>
      </c>
      <c r="F17" s="6" t="s">
        <v>47</v>
      </c>
      <c r="G17" s="130"/>
      <c r="H17" s="9">
        <f t="shared" si="0"/>
        <v>12.060042585228764</v>
      </c>
      <c r="I17" s="9">
        <f t="shared" si="1"/>
        <v>6.165668718309175</v>
      </c>
      <c r="J17" s="9">
        <f t="shared" si="2"/>
        <v>0.2712948513895861</v>
      </c>
      <c r="K17" s="9">
        <f t="shared" si="3"/>
        <v>0.4156687183091755</v>
      </c>
      <c r="L17" s="9">
        <f t="shared" si="4"/>
        <v>0.5600425852287649</v>
      </c>
      <c r="M17" s="9">
        <f t="shared" si="5"/>
        <v>0.7044164521483542</v>
      </c>
      <c r="N17" s="9">
        <f t="shared" si="6"/>
        <v>0.8487903190679437</v>
      </c>
      <c r="O17" s="9">
        <f t="shared" si="7"/>
        <v>0.9544164521483542</v>
      </c>
      <c r="P17" s="9">
        <f>sunrise(Location!$B$4,Location!$B$5,Location!$B$6,7,A17,Location!$B$7,IF(Location!$B$8="No",0,1))</f>
        <v>0.2712948513895861</v>
      </c>
      <c r="Q17" s="9">
        <f>sunset(Location!$B$4,Location!$B$5,Location!$B$6,7,A17,Location!$B$7,IF(Location!$B$8="No",0,1))</f>
        <v>0.8487903190679437</v>
      </c>
      <c r="R17" s="9">
        <f t="shared" si="8"/>
        <v>0.5774954676783576</v>
      </c>
      <c r="S17" s="10">
        <f t="shared" si="9"/>
        <v>0.0481246223065298</v>
      </c>
      <c r="T17" s="9">
        <f t="shared" si="10"/>
        <v>23.422504532321643</v>
      </c>
      <c r="U17" s="10">
        <f t="shared" si="11"/>
        <v>0.03520871102680353</v>
      </c>
    </row>
    <row r="18" spans="1:21" ht="12.75">
      <c r="A18" s="5">
        <v>16</v>
      </c>
      <c r="B18" s="6" t="str">
        <f t="shared" si="13"/>
        <v>Friday</v>
      </c>
      <c r="C18" s="59"/>
      <c r="D18" s="95" t="s">
        <v>42</v>
      </c>
      <c r="E18" s="8" t="s">
        <v>17</v>
      </c>
      <c r="F18" s="6" t="s">
        <v>102</v>
      </c>
      <c r="G18" s="130"/>
      <c r="H18" s="9">
        <f t="shared" si="0"/>
        <v>12.060105241549945</v>
      </c>
      <c r="I18" s="9">
        <f t="shared" si="1"/>
        <v>6.165886861060203</v>
      </c>
      <c r="J18" s="9">
        <f t="shared" si="2"/>
        <v>0.27166848057046145</v>
      </c>
      <c r="K18" s="9">
        <f t="shared" si="3"/>
        <v>0.4158868610602028</v>
      </c>
      <c r="L18" s="9">
        <f t="shared" si="4"/>
        <v>0.5601052415499441</v>
      </c>
      <c r="M18" s="9">
        <f t="shared" si="5"/>
        <v>0.7043236220396855</v>
      </c>
      <c r="N18" s="9">
        <f t="shared" si="6"/>
        <v>0.8485420025294268</v>
      </c>
      <c r="O18" s="9">
        <f t="shared" si="7"/>
        <v>0.9543236220396855</v>
      </c>
      <c r="P18" s="9">
        <f>sunrise(Location!$B$4,Location!$B$5,Location!$B$6,7,A18,Location!$B$7,IF(Location!$B$8="No",0,1))</f>
        <v>0.27166848057046145</v>
      </c>
      <c r="Q18" s="9">
        <f>sunset(Location!$B$4,Location!$B$5,Location!$B$6,7,A18,Location!$B$7,IF(Location!$B$8="No",0,1))</f>
        <v>0.8485420025294268</v>
      </c>
      <c r="R18" s="9">
        <f t="shared" si="8"/>
        <v>0.5768735219589654</v>
      </c>
      <c r="S18" s="10">
        <f t="shared" si="9"/>
        <v>0.048072793496580446</v>
      </c>
      <c r="T18" s="9">
        <f t="shared" si="10"/>
        <v>23.423126478041034</v>
      </c>
      <c r="U18" s="10">
        <f t="shared" si="11"/>
        <v>0.03526053983675288</v>
      </c>
    </row>
    <row r="19" spans="1:21" ht="12.75">
      <c r="A19" s="5">
        <v>17</v>
      </c>
      <c r="B19" s="6" t="str">
        <f t="shared" si="13"/>
        <v>Saturday</v>
      </c>
      <c r="C19" s="59"/>
      <c r="D19" s="7"/>
      <c r="E19" s="8" t="s">
        <v>21</v>
      </c>
      <c r="F19" s="6" t="s">
        <v>103</v>
      </c>
      <c r="G19" s="130"/>
      <c r="H19" s="9">
        <f t="shared" si="0"/>
        <v>12.060161931895898</v>
      </c>
      <c r="I19" s="9">
        <f t="shared" si="1"/>
        <v>6.166104298265633</v>
      </c>
      <c r="J19" s="9">
        <f t="shared" si="2"/>
        <v>0.27204666463536775</v>
      </c>
      <c r="K19" s="9">
        <f t="shared" si="3"/>
        <v>0.4161042982656332</v>
      </c>
      <c r="L19" s="9">
        <f t="shared" si="4"/>
        <v>0.5601619318958987</v>
      </c>
      <c r="M19" s="9">
        <f t="shared" si="5"/>
        <v>0.7042195655261642</v>
      </c>
      <c r="N19" s="9">
        <f t="shared" si="6"/>
        <v>0.8482771991564296</v>
      </c>
      <c r="O19" s="9">
        <f t="shared" si="7"/>
        <v>0.9542195655261642</v>
      </c>
      <c r="P19" s="9">
        <f>sunrise(Location!$B$4,Location!$B$5,Location!$B$6,7,A19,Location!$B$7,IF(Location!$B$8="No",0,1))</f>
        <v>0.27204666463536775</v>
      </c>
      <c r="Q19" s="9">
        <f>sunset(Location!$B$4,Location!$B$5,Location!$B$6,7,A19,Location!$B$7,IF(Location!$B$8="No",0,1))</f>
        <v>0.8482771991564296</v>
      </c>
      <c r="R19" s="9">
        <f t="shared" si="8"/>
        <v>0.5762305345210619</v>
      </c>
      <c r="S19" s="10">
        <f t="shared" si="9"/>
        <v>0.04801921121008849</v>
      </c>
      <c r="T19" s="9">
        <f t="shared" si="10"/>
        <v>23.423769465478937</v>
      </c>
      <c r="U19" s="10">
        <f t="shared" si="11"/>
        <v>0.03531412212324484</v>
      </c>
    </row>
    <row r="20" spans="1:21" ht="12.75">
      <c r="A20" s="5">
        <v>18</v>
      </c>
      <c r="B20" s="6" t="str">
        <f t="shared" si="13"/>
        <v>Sunday</v>
      </c>
      <c r="C20" s="59"/>
      <c r="D20" s="95" t="s">
        <v>45</v>
      </c>
      <c r="E20" s="8" t="s">
        <v>24</v>
      </c>
      <c r="F20" s="6" t="s">
        <v>105</v>
      </c>
      <c r="G20" s="134" t="s">
        <v>294</v>
      </c>
      <c r="H20" s="9">
        <f t="shared" si="0"/>
        <v>12.060212524491911</v>
      </c>
      <c r="I20" s="9">
        <f t="shared" si="1"/>
        <v>6.1663207944756</v>
      </c>
      <c r="J20" s="9">
        <f t="shared" si="2"/>
        <v>0.2724290644592879</v>
      </c>
      <c r="K20" s="9">
        <f t="shared" si="3"/>
        <v>0.4163207944755998</v>
      </c>
      <c r="L20" s="9">
        <f t="shared" si="4"/>
        <v>0.5602125244919116</v>
      </c>
      <c r="M20" s="9">
        <f t="shared" si="5"/>
        <v>0.7041042545082236</v>
      </c>
      <c r="N20" s="9">
        <f t="shared" si="6"/>
        <v>0.8479959845245355</v>
      </c>
      <c r="O20" s="9">
        <f t="shared" si="7"/>
        <v>0.9541042545082237</v>
      </c>
      <c r="P20" s="9">
        <f>sunrise(Location!$B$4,Location!$B$5,Location!$B$6,7,A20,Location!$B$7,IF(Location!$B$8="No",0,1))</f>
        <v>0.2724290644592879</v>
      </c>
      <c r="Q20" s="9">
        <f>sunset(Location!$B$4,Location!$B$5,Location!$B$6,7,A20,Location!$B$7,IF(Location!$B$8="No",0,1))</f>
        <v>0.8479959845245355</v>
      </c>
      <c r="R20" s="9">
        <f t="shared" si="8"/>
        <v>0.5755669200652476</v>
      </c>
      <c r="S20" s="10">
        <f t="shared" si="9"/>
        <v>0.047963910005437295</v>
      </c>
      <c r="T20" s="9">
        <f t="shared" si="10"/>
        <v>23.42443307993475</v>
      </c>
      <c r="U20" s="10">
        <f t="shared" si="11"/>
        <v>0.035369423327896034</v>
      </c>
    </row>
    <row r="21" spans="1:21" ht="12.75">
      <c r="A21" s="5">
        <v>19</v>
      </c>
      <c r="B21" s="6" t="str">
        <f t="shared" si="13"/>
        <v>Monday</v>
      </c>
      <c r="C21" s="59"/>
      <c r="D21" s="7"/>
      <c r="E21" s="8" t="s">
        <v>26</v>
      </c>
      <c r="F21" s="6" t="s">
        <v>107</v>
      </c>
      <c r="G21" s="130"/>
      <c r="H21" s="9">
        <f t="shared" si="0"/>
        <v>12.06025689660747</v>
      </c>
      <c r="I21" s="9">
        <f t="shared" si="1"/>
        <v>6.166536121877595</v>
      </c>
      <c r="J21" s="9">
        <f t="shared" si="2"/>
        <v>0.27281534714772054</v>
      </c>
      <c r="K21" s="9">
        <f t="shared" si="3"/>
        <v>0.4165361218775955</v>
      </c>
      <c r="L21" s="9">
        <f t="shared" si="4"/>
        <v>0.5602568966074704</v>
      </c>
      <c r="M21" s="9">
        <f t="shared" si="5"/>
        <v>0.7039776713373453</v>
      </c>
      <c r="N21" s="9">
        <f t="shared" si="6"/>
        <v>0.8476984460672203</v>
      </c>
      <c r="O21" s="9">
        <f t="shared" si="7"/>
        <v>0.9539776713373453</v>
      </c>
      <c r="P21" s="9">
        <f>sunrise(Location!$B$4,Location!$B$5,Location!$B$6,7,A21,Location!$B$7,IF(Location!$B$8="No",0,1))</f>
        <v>0.27281534714772054</v>
      </c>
      <c r="Q21" s="9">
        <f>sunset(Location!$B$4,Location!$B$5,Location!$B$6,7,A21,Location!$B$7,IF(Location!$B$8="No",0,1))</f>
        <v>0.8476984460672203</v>
      </c>
      <c r="R21" s="9">
        <f t="shared" si="8"/>
        <v>0.5748830989194997</v>
      </c>
      <c r="S21" s="10">
        <f t="shared" si="9"/>
        <v>0.047906924909958314</v>
      </c>
      <c r="T21" s="9">
        <f t="shared" si="10"/>
        <v>23.4251169010805</v>
      </c>
      <c r="U21" s="10">
        <f t="shared" si="11"/>
        <v>0.035426408423375015</v>
      </c>
    </row>
    <row r="22" spans="1:21" ht="12.75">
      <c r="A22" s="5">
        <v>20</v>
      </c>
      <c r="B22" s="6" t="str">
        <f t="shared" si="13"/>
        <v>Tuesday</v>
      </c>
      <c r="C22" s="59"/>
      <c r="D22" s="95" t="s">
        <v>48</v>
      </c>
      <c r="E22" s="8" t="s">
        <v>29</v>
      </c>
      <c r="F22" s="6" t="s">
        <v>108</v>
      </c>
      <c r="G22" s="130"/>
      <c r="H22" s="9">
        <f t="shared" si="0"/>
        <v>12.060294934665977</v>
      </c>
      <c r="I22" s="9">
        <f t="shared" si="1"/>
        <v>6.166750060611764</v>
      </c>
      <c r="J22" s="9">
        <f t="shared" si="2"/>
        <v>0.2732051865575509</v>
      </c>
      <c r="K22" s="9">
        <f t="shared" si="3"/>
        <v>0.41675006061176406</v>
      </c>
      <c r="L22" s="9">
        <f t="shared" si="4"/>
        <v>0.5602949346659772</v>
      </c>
      <c r="M22" s="9">
        <f t="shared" si="5"/>
        <v>0.7038398087201905</v>
      </c>
      <c r="N22" s="9">
        <f t="shared" si="6"/>
        <v>0.8473846827744036</v>
      </c>
      <c r="O22" s="9">
        <f t="shared" si="7"/>
        <v>0.9538398087201904</v>
      </c>
      <c r="P22" s="9">
        <f>sunrise(Location!$B$4,Location!$B$5,Location!$B$6,7,A22,Location!$B$7,IF(Location!$B$8="No",0,1))</f>
        <v>0.2732051865575509</v>
      </c>
      <c r="Q22" s="9">
        <f>sunset(Location!$B$4,Location!$B$5,Location!$B$6,7,A22,Location!$B$7,IF(Location!$B$8="No",0,1))</f>
        <v>0.8473846827744036</v>
      </c>
      <c r="R22" s="9">
        <f t="shared" si="8"/>
        <v>0.5741794962168527</v>
      </c>
      <c r="S22" s="10">
        <f t="shared" si="9"/>
        <v>0.04784829135140439</v>
      </c>
      <c r="T22" s="9">
        <f t="shared" si="10"/>
        <v>23.425820503783147</v>
      </c>
      <c r="U22" s="10">
        <f t="shared" si="11"/>
        <v>0.035485041981928936</v>
      </c>
    </row>
    <row r="23" spans="1:21" ht="12.75">
      <c r="A23" s="5">
        <v>21</v>
      </c>
      <c r="B23" s="6" t="str">
        <f t="shared" si="13"/>
        <v>Wednesday</v>
      </c>
      <c r="C23" s="59"/>
      <c r="D23" s="95" t="s">
        <v>50</v>
      </c>
      <c r="E23" s="8" t="s">
        <v>32</v>
      </c>
      <c r="F23" s="6" t="s">
        <v>110</v>
      </c>
      <c r="G23" s="130"/>
      <c r="H23" s="9">
        <f t="shared" si="0"/>
        <v>12.060326534336998</v>
      </c>
      <c r="I23" s="9">
        <f t="shared" si="1"/>
        <v>6.166962399064567</v>
      </c>
      <c r="J23" s="9">
        <f t="shared" si="2"/>
        <v>0.27359826379213553</v>
      </c>
      <c r="K23" s="9">
        <f t="shared" si="3"/>
        <v>0.41696239906456667</v>
      </c>
      <c r="L23" s="9">
        <f t="shared" si="4"/>
        <v>0.5603265343369979</v>
      </c>
      <c r="M23" s="9">
        <f t="shared" si="5"/>
        <v>0.7036906696094289</v>
      </c>
      <c r="N23" s="9">
        <f t="shared" si="6"/>
        <v>0.84705480488186</v>
      </c>
      <c r="O23" s="9">
        <f t="shared" si="7"/>
        <v>0.9536906696094288</v>
      </c>
      <c r="P23" s="9">
        <f>sunrise(Location!$B$4,Location!$B$5,Location!$B$6,7,A23,Location!$B$7,IF(Location!$B$8="No",0,1))</f>
        <v>0.27359826379213553</v>
      </c>
      <c r="Q23" s="9">
        <f>sunset(Location!$B$4,Location!$B$5,Location!$B$6,7,A23,Location!$B$7,IF(Location!$B$8="No",0,1))</f>
        <v>0.84705480488186</v>
      </c>
      <c r="R23" s="9">
        <f t="shared" si="8"/>
        <v>0.5734565410897245</v>
      </c>
      <c r="S23" s="10">
        <f t="shared" si="9"/>
        <v>0.04778804509081038</v>
      </c>
      <c r="T23" s="9">
        <f t="shared" si="10"/>
        <v>23.426543458910274</v>
      </c>
      <c r="U23" s="10">
        <f t="shared" si="11"/>
        <v>0.03554528824252295</v>
      </c>
    </row>
    <row r="24" spans="1:21" ht="12.75">
      <c r="A24" s="5">
        <v>22</v>
      </c>
      <c r="B24" s="6" t="str">
        <f aca="true" t="shared" si="14" ref="B24:B30">B3</f>
        <v>Thursday</v>
      </c>
      <c r="C24" s="59"/>
      <c r="D24" s="7"/>
      <c r="E24" s="8" t="s">
        <v>36</v>
      </c>
      <c r="F24" s="6" t="s">
        <v>111</v>
      </c>
      <c r="G24" s="45" t="s">
        <v>221</v>
      </c>
      <c r="H24" s="9">
        <f t="shared" si="0"/>
        <v>12.060351600605982</v>
      </c>
      <c r="I24" s="9">
        <f t="shared" si="1"/>
        <v>6.167172934135387</v>
      </c>
      <c r="J24" s="9">
        <f t="shared" si="2"/>
        <v>0.2739942676647917</v>
      </c>
      <c r="K24" s="9">
        <f t="shared" si="3"/>
        <v>0.41717293413538603</v>
      </c>
      <c r="L24" s="9">
        <f t="shared" si="4"/>
        <v>0.5603516006059803</v>
      </c>
      <c r="M24" s="9">
        <f t="shared" si="5"/>
        <v>0.7035302670765747</v>
      </c>
      <c r="N24" s="9">
        <f t="shared" si="6"/>
        <v>0.8467089335471691</v>
      </c>
      <c r="O24" s="9">
        <f t="shared" si="7"/>
        <v>0.9535302670765747</v>
      </c>
      <c r="P24" s="9">
        <f>sunrise(Location!$B$4,Location!$B$5,Location!$B$6,7,A24,Location!$B$7,IF(Location!$B$8="No",0,1))</f>
        <v>0.2739942676647917</v>
      </c>
      <c r="Q24" s="9">
        <f>sunset(Location!$B$4,Location!$B$5,Location!$B$6,7,A24,Location!$B$7,IF(Location!$B$8="No",0,1))</f>
        <v>0.8467089335471691</v>
      </c>
      <c r="R24" s="9">
        <f t="shared" si="8"/>
        <v>0.5727146658823774</v>
      </c>
      <c r="S24" s="10">
        <f t="shared" si="9"/>
        <v>0.047726222156864784</v>
      </c>
      <c r="T24" s="9">
        <f t="shared" si="10"/>
        <v>23.427285334117624</v>
      </c>
      <c r="U24" s="10">
        <f t="shared" si="11"/>
        <v>0.035607111176468545</v>
      </c>
    </row>
    <row r="25" spans="1:21" ht="12.75">
      <c r="A25" s="5">
        <v>23</v>
      </c>
      <c r="B25" s="6" t="str">
        <f t="shared" si="14"/>
        <v>Friday</v>
      </c>
      <c r="C25" s="59"/>
      <c r="D25" s="95" t="s">
        <v>53</v>
      </c>
      <c r="E25" s="8" t="s">
        <v>17</v>
      </c>
      <c r="F25" s="6" t="s">
        <v>112</v>
      </c>
      <c r="G25" s="130"/>
      <c r="H25" s="9">
        <f t="shared" si="0"/>
        <v>12.060370047826483</v>
      </c>
      <c r="I25" s="9">
        <f t="shared" si="1"/>
        <v>6.167381471480474</v>
      </c>
      <c r="J25" s="9">
        <f t="shared" si="2"/>
        <v>0.2743928951344657</v>
      </c>
      <c r="K25" s="9">
        <f t="shared" si="3"/>
        <v>0.4173814714804739</v>
      </c>
      <c r="L25" s="9">
        <f t="shared" si="4"/>
        <v>0.5603700478264821</v>
      </c>
      <c r="M25" s="9">
        <f t="shared" si="5"/>
        <v>0.7033586241724903</v>
      </c>
      <c r="N25" s="9">
        <f t="shared" si="6"/>
        <v>0.8463472005184985</v>
      </c>
      <c r="O25" s="9">
        <f t="shared" si="7"/>
        <v>0.9533586241724903</v>
      </c>
      <c r="P25" s="9">
        <f>sunrise(Location!$B$4,Location!$B$5,Location!$B$6,7,A25,Location!$B$7,IF(Location!$B$8="No",0,1))</f>
        <v>0.2743928951344657</v>
      </c>
      <c r="Q25" s="9">
        <f>sunset(Location!$B$4,Location!$B$5,Location!$B$6,7,A25,Location!$B$7,IF(Location!$B$8="No",0,1))</f>
        <v>0.8463472005184985</v>
      </c>
      <c r="R25" s="9">
        <f t="shared" si="8"/>
        <v>0.5719543053840328</v>
      </c>
      <c r="S25" s="10">
        <f t="shared" si="9"/>
        <v>0.047662858782002736</v>
      </c>
      <c r="T25" s="9">
        <f t="shared" si="10"/>
        <v>23.428045694615967</v>
      </c>
      <c r="U25" s="10">
        <f t="shared" si="11"/>
        <v>0.03567047455133059</v>
      </c>
    </row>
    <row r="26" spans="1:21" ht="12.75">
      <c r="A26" s="5">
        <v>24</v>
      </c>
      <c r="B26" s="6" t="str">
        <f t="shared" si="14"/>
        <v>Saturday</v>
      </c>
      <c r="C26" s="59"/>
      <c r="D26" s="95" t="s">
        <v>55</v>
      </c>
      <c r="E26" s="8" t="s">
        <v>21</v>
      </c>
      <c r="F26" s="6" t="s">
        <v>113</v>
      </c>
      <c r="G26" s="130"/>
      <c r="H26" s="9">
        <f t="shared" si="0"/>
        <v>12.060381799753321</v>
      </c>
      <c r="I26" s="9">
        <f t="shared" si="1"/>
        <v>6.1675878257324666</v>
      </c>
      <c r="J26" s="9">
        <f t="shared" si="2"/>
        <v>0.27479385171161186</v>
      </c>
      <c r="K26" s="9">
        <f t="shared" si="3"/>
        <v>0.4175878257324667</v>
      </c>
      <c r="L26" s="9">
        <f t="shared" si="4"/>
        <v>0.5603817997533216</v>
      </c>
      <c r="M26" s="9">
        <f t="shared" si="5"/>
        <v>0.7031757737741764</v>
      </c>
      <c r="N26" s="9">
        <f t="shared" si="6"/>
        <v>0.8459697477950313</v>
      </c>
      <c r="O26" s="9">
        <f t="shared" si="7"/>
        <v>0.9531757737741764</v>
      </c>
      <c r="P26" s="9">
        <f>sunrise(Location!$B$4,Location!$B$5,Location!$B$6,7,A26,Location!$B$7,IF(Location!$B$8="No",0,1))</f>
        <v>0.27479385171161186</v>
      </c>
      <c r="Q26" s="9">
        <f>sunset(Location!$B$4,Location!$B$5,Location!$B$6,7,A26,Location!$B$7,IF(Location!$B$8="No",0,1))</f>
        <v>0.8459697477950313</v>
      </c>
      <c r="R26" s="9">
        <f t="shared" si="8"/>
        <v>0.5711758960834195</v>
      </c>
      <c r="S26" s="10">
        <f t="shared" si="9"/>
        <v>0.04759799134028495</v>
      </c>
      <c r="T26" s="9">
        <f t="shared" si="10"/>
        <v>23.42882410391658</v>
      </c>
      <c r="U26" s="10">
        <f t="shared" si="11"/>
        <v>0.035735341993048376</v>
      </c>
    </row>
    <row r="27" spans="1:21" ht="12.75">
      <c r="A27" s="5">
        <v>25</v>
      </c>
      <c r="B27" s="6" t="str">
        <f t="shared" si="14"/>
        <v>Sunday</v>
      </c>
      <c r="C27" s="59"/>
      <c r="D27" s="7"/>
      <c r="E27" s="8" t="s">
        <v>24</v>
      </c>
      <c r="F27" s="6" t="s">
        <v>114</v>
      </c>
      <c r="G27" s="134" t="s">
        <v>296</v>
      </c>
      <c r="H27" s="9">
        <f t="shared" si="0"/>
        <v>12.060386789555698</v>
      </c>
      <c r="I27" s="9">
        <f t="shared" si="1"/>
        <v>6.167791820693203</v>
      </c>
      <c r="J27" s="9">
        <f t="shared" si="2"/>
        <v>0.2751968518307081</v>
      </c>
      <c r="K27" s="9">
        <f t="shared" si="3"/>
        <v>0.4177918206932036</v>
      </c>
      <c r="L27" s="9">
        <f t="shared" si="4"/>
        <v>0.5603867895556991</v>
      </c>
      <c r="M27" s="9">
        <f t="shared" si="5"/>
        <v>0.7029817584181945</v>
      </c>
      <c r="N27" s="9">
        <f t="shared" si="6"/>
        <v>0.84557672728069</v>
      </c>
      <c r="O27" s="9">
        <f t="shared" si="7"/>
        <v>0.9529817584181945</v>
      </c>
      <c r="P27" s="9">
        <f>sunrise(Location!$B$4,Location!$B$5,Location!$B$6,7,A27,Location!$B$7,IF(Location!$B$8="No",0,1))</f>
        <v>0.2751968518307081</v>
      </c>
      <c r="Q27" s="9">
        <f>sunset(Location!$B$4,Location!$B$5,Location!$B$6,7,A27,Location!$B$7,IF(Location!$B$8="No",0,1))</f>
        <v>0.84557672728069</v>
      </c>
      <c r="R27" s="9">
        <f t="shared" si="8"/>
        <v>0.5703798754499819</v>
      </c>
      <c r="S27" s="10">
        <f t="shared" si="9"/>
        <v>0.047531656287498496</v>
      </c>
      <c r="T27" s="9">
        <f t="shared" si="10"/>
        <v>23.429620124550016</v>
      </c>
      <c r="U27" s="10">
        <f t="shared" si="11"/>
        <v>0.03580167704583483</v>
      </c>
    </row>
    <row r="28" spans="1:21" ht="12.75">
      <c r="A28" s="5">
        <v>26</v>
      </c>
      <c r="B28" s="6" t="str">
        <f t="shared" si="14"/>
        <v>Monday</v>
      </c>
      <c r="C28" s="59"/>
      <c r="D28" s="95" t="s">
        <v>59</v>
      </c>
      <c r="E28" s="8" t="s">
        <v>26</v>
      </c>
      <c r="F28" s="6" t="s">
        <v>116</v>
      </c>
      <c r="G28" s="143" t="s">
        <v>295</v>
      </c>
      <c r="H28" s="9">
        <f t="shared" si="0"/>
        <v>12.060384959813272</v>
      </c>
      <c r="I28" s="9">
        <f t="shared" si="1"/>
        <v>6.167993289503638</v>
      </c>
      <c r="J28" s="9">
        <f t="shared" si="2"/>
        <v>0.27560161919400517</v>
      </c>
      <c r="K28" s="9">
        <f t="shared" si="3"/>
        <v>0.4179932895036385</v>
      </c>
      <c r="L28" s="9">
        <f t="shared" si="4"/>
        <v>0.5603849598132719</v>
      </c>
      <c r="M28" s="9">
        <f t="shared" si="5"/>
        <v>0.7027766301229053</v>
      </c>
      <c r="N28" s="9">
        <f t="shared" si="6"/>
        <v>0.8451683004325385</v>
      </c>
      <c r="O28" s="9">
        <f t="shared" si="7"/>
        <v>0.9527766301229051</v>
      </c>
      <c r="P28" s="9">
        <f>sunrise(Location!$B$4,Location!$B$5,Location!$B$6,7,A28,Location!$B$7,IF(Location!$B$8="No",0,1))</f>
        <v>0.27560161919400517</v>
      </c>
      <c r="Q28" s="9">
        <f>sunset(Location!$B$4,Location!$B$5,Location!$B$6,7,A28,Location!$B$7,IF(Location!$B$8="No",0,1))</f>
        <v>0.8451683004325385</v>
      </c>
      <c r="R28" s="9">
        <f t="shared" si="8"/>
        <v>0.5695666812385334</v>
      </c>
      <c r="S28" s="10">
        <f t="shared" si="9"/>
        <v>0.047463890103211115</v>
      </c>
      <c r="T28" s="9">
        <f t="shared" si="10"/>
        <v>23.430433318761466</v>
      </c>
      <c r="U28" s="10">
        <f t="shared" si="11"/>
        <v>0.035869443230122214</v>
      </c>
    </row>
    <row r="29" spans="1:21" ht="12.75">
      <c r="A29" s="5">
        <v>27</v>
      </c>
      <c r="B29" s="6" t="str">
        <f t="shared" si="14"/>
        <v>Tuesday</v>
      </c>
      <c r="C29" s="59"/>
      <c r="D29" s="95" t="s">
        <v>61</v>
      </c>
      <c r="E29" s="8" t="s">
        <v>29</v>
      </c>
      <c r="F29" s="6" t="s">
        <v>117</v>
      </c>
      <c r="G29" s="130"/>
      <c r="H29" s="9">
        <f t="shared" si="0"/>
        <v>12.060376262493346</v>
      </c>
      <c r="I29" s="9">
        <f t="shared" si="1"/>
        <v>6.1681920747874805</v>
      </c>
      <c r="J29" s="9">
        <f t="shared" si="2"/>
        <v>0.27600788708161567</v>
      </c>
      <c r="K29" s="9">
        <f t="shared" si="3"/>
        <v>0.41819207478748077</v>
      </c>
      <c r="L29" s="9">
        <f t="shared" si="4"/>
        <v>0.5603762624933459</v>
      </c>
      <c r="M29" s="9">
        <f t="shared" si="5"/>
        <v>0.7025604501992111</v>
      </c>
      <c r="N29" s="9">
        <f t="shared" si="6"/>
        <v>0.8447446379050761</v>
      </c>
      <c r="O29" s="9">
        <f t="shared" si="7"/>
        <v>0.952560450199211</v>
      </c>
      <c r="P29" s="9">
        <f>sunrise(Location!$B$4,Location!$B$5,Location!$B$6,7,A29,Location!$B$7,IF(Location!$B$8="No",0,1))</f>
        <v>0.27600788708161567</v>
      </c>
      <c r="Q29" s="9">
        <f>sunset(Location!$B$4,Location!$B$5,Location!$B$6,7,A29,Location!$B$7,IF(Location!$B$8="No",0,1))</f>
        <v>0.8447446379050761</v>
      </c>
      <c r="R29" s="9">
        <f t="shared" si="8"/>
        <v>0.5687367508234604</v>
      </c>
      <c r="S29" s="10">
        <f t="shared" si="9"/>
        <v>0.04739472923528837</v>
      </c>
      <c r="T29" s="9">
        <f t="shared" si="10"/>
        <v>23.43126324917654</v>
      </c>
      <c r="U29" s="10">
        <f t="shared" si="11"/>
        <v>0.03593860409804496</v>
      </c>
    </row>
    <row r="30" spans="1:21" ht="12.75">
      <c r="A30" s="5">
        <v>28</v>
      </c>
      <c r="B30" s="6" t="str">
        <f t="shared" si="14"/>
        <v>Wednesday</v>
      </c>
      <c r="C30" s="59"/>
      <c r="D30" s="7"/>
      <c r="E30" s="8" t="s">
        <v>32</v>
      </c>
      <c r="F30" s="6" t="s">
        <v>118</v>
      </c>
      <c r="G30" s="130"/>
      <c r="H30" s="9">
        <f t="shared" si="0"/>
        <v>12.06036065891201</v>
      </c>
      <c r="I30" s="9">
        <f t="shared" si="1"/>
        <v>6.168388028771704</v>
      </c>
      <c r="J30" s="9">
        <f t="shared" si="2"/>
        <v>0.27641539863139813</v>
      </c>
      <c r="K30" s="9">
        <f t="shared" si="3"/>
        <v>0.4183880287717048</v>
      </c>
      <c r="L30" s="9">
        <f t="shared" si="4"/>
        <v>0.5603606589120114</v>
      </c>
      <c r="M30" s="9">
        <f t="shared" si="5"/>
        <v>0.7023332890523181</v>
      </c>
      <c r="N30" s="9">
        <f t="shared" si="6"/>
        <v>0.8443059191926248</v>
      </c>
      <c r="O30" s="9">
        <f t="shared" si="7"/>
        <v>0.9523332890523182</v>
      </c>
      <c r="P30" s="9">
        <f>sunrise(Location!$B$4,Location!$B$5,Location!$B$6,7,A30,Location!$B$7,IF(Location!$B$8="No",0,1))</f>
        <v>0.27641539863139813</v>
      </c>
      <c r="Q30" s="9">
        <f>sunset(Location!$B$4,Location!$B$5,Location!$B$6,7,A30,Location!$B$7,IF(Location!$B$8="No",0,1))</f>
        <v>0.8443059191926248</v>
      </c>
      <c r="R30" s="9">
        <f t="shared" si="8"/>
        <v>0.5678905205612266</v>
      </c>
      <c r="S30" s="10">
        <f t="shared" si="9"/>
        <v>0.04732421004676888</v>
      </c>
      <c r="T30" s="9">
        <f t="shared" si="10"/>
        <v>23.432109479438772</v>
      </c>
      <c r="U30" s="10">
        <f t="shared" si="11"/>
        <v>0.03600912328656445</v>
      </c>
    </row>
    <row r="31" spans="1:21" ht="12.75">
      <c r="A31" s="5">
        <v>29</v>
      </c>
      <c r="B31" s="6" t="str">
        <f>B3</f>
        <v>Thursday</v>
      </c>
      <c r="C31" s="59"/>
      <c r="D31" s="95" t="s">
        <v>64</v>
      </c>
      <c r="E31" s="8" t="s">
        <v>36</v>
      </c>
      <c r="F31" s="6" t="s">
        <v>119</v>
      </c>
      <c r="G31" s="130"/>
      <c r="H31" s="9">
        <f t="shared" si="0"/>
        <v>12.060338119677313</v>
      </c>
      <c r="I31" s="9">
        <f t="shared" si="1"/>
        <v>6.168581013381885</v>
      </c>
      <c r="J31" s="9">
        <f t="shared" si="2"/>
        <v>0.2768239070864564</v>
      </c>
      <c r="K31" s="9">
        <f t="shared" si="3"/>
        <v>0.41858101338188425</v>
      </c>
      <c r="L31" s="9">
        <f t="shared" si="4"/>
        <v>0.5603381196773121</v>
      </c>
      <c r="M31" s="9">
        <f t="shared" si="5"/>
        <v>0.70209522597274</v>
      </c>
      <c r="N31" s="9">
        <f t="shared" si="6"/>
        <v>0.8438523322681678</v>
      </c>
      <c r="O31" s="9">
        <f t="shared" si="7"/>
        <v>0.9520952259727399</v>
      </c>
      <c r="P31" s="9">
        <f>sunrise(Location!$B$4,Location!$B$5,Location!$B$6,7,A31,Location!$B$7,IF(Location!$B$8="No",0,1))</f>
        <v>0.2768239070864564</v>
      </c>
      <c r="Q31" s="9">
        <f>sunset(Location!$B$4,Location!$B$5,Location!$B$6,7,A31,Location!$B$7,IF(Location!$B$8="No",0,1))</f>
        <v>0.8438523322681678</v>
      </c>
      <c r="R31" s="9">
        <f t="shared" si="8"/>
        <v>0.5670284251817115</v>
      </c>
      <c r="S31" s="10">
        <f t="shared" si="9"/>
        <v>0.047252368765142626</v>
      </c>
      <c r="T31" s="9">
        <f t="shared" si="10"/>
        <v>23.43297157481829</v>
      </c>
      <c r="U31" s="10">
        <f t="shared" si="11"/>
        <v>0.0360809645681907</v>
      </c>
    </row>
    <row r="32" spans="1:21" ht="12.75">
      <c r="A32" s="5">
        <v>30</v>
      </c>
      <c r="B32" s="6" t="str">
        <f>B4</f>
        <v>Friday</v>
      </c>
      <c r="C32" s="59"/>
      <c r="D32" s="95" t="s">
        <v>67</v>
      </c>
      <c r="E32" s="8" t="s">
        <v>17</v>
      </c>
      <c r="F32" s="6" t="s">
        <v>120</v>
      </c>
      <c r="G32" s="130"/>
      <c r="H32" s="9">
        <f t="shared" si="0"/>
        <v>12.060308624616834</v>
      </c>
      <c r="I32" s="9">
        <f t="shared" si="1"/>
        <v>6.1687709003138345</v>
      </c>
      <c r="J32" s="9">
        <f t="shared" si="2"/>
        <v>0.27723317601083597</v>
      </c>
      <c r="K32" s="9">
        <f t="shared" si="3"/>
        <v>0.41877090031383446</v>
      </c>
      <c r="L32" s="9">
        <f t="shared" si="4"/>
        <v>0.560308624616833</v>
      </c>
      <c r="M32" s="9">
        <f t="shared" si="5"/>
        <v>0.7018463489198314</v>
      </c>
      <c r="N32" s="9">
        <f t="shared" si="6"/>
        <v>0.84338407322283</v>
      </c>
      <c r="O32" s="9">
        <f t="shared" si="7"/>
        <v>0.9518463489198316</v>
      </c>
      <c r="P32" s="9">
        <f>sunrise(Location!$B$4,Location!$B$5,Location!$B$6,7,A32,Location!$B$7,IF(Location!$B$8="No",0,1))</f>
        <v>0.27723317601083597</v>
      </c>
      <c r="Q32" s="9">
        <f>sunset(Location!$B$4,Location!$B$5,Location!$B$6,7,A32,Location!$B$7,IF(Location!$B$8="No",0,1))</f>
        <v>0.84338407322283</v>
      </c>
      <c r="R32" s="9">
        <f t="shared" si="8"/>
        <v>0.5661508972119941</v>
      </c>
      <c r="S32" s="10">
        <f t="shared" si="9"/>
        <v>0.04717924143433284</v>
      </c>
      <c r="T32" s="9">
        <f t="shared" si="10"/>
        <v>23.433849102788006</v>
      </c>
      <c r="U32" s="10">
        <f t="shared" si="11"/>
        <v>0.03615409189900049</v>
      </c>
    </row>
    <row r="33" spans="1:21" ht="12.75">
      <c r="A33" s="5">
        <v>31</v>
      </c>
      <c r="B33" s="6" t="str">
        <f>B5</f>
        <v>Saturday</v>
      </c>
      <c r="C33" s="59"/>
      <c r="D33" s="95" t="s">
        <v>69</v>
      </c>
      <c r="E33" s="8" t="s">
        <v>21</v>
      </c>
      <c r="F33" s="6" t="s">
        <v>78</v>
      </c>
      <c r="G33" s="130"/>
      <c r="H33" s="9">
        <f t="shared" si="0"/>
        <v>12.06027216269049</v>
      </c>
      <c r="I33" s="9">
        <f t="shared" si="1"/>
        <v>6.168957571083081</v>
      </c>
      <c r="J33" s="9">
        <f t="shared" si="2"/>
        <v>0.2776429794756729</v>
      </c>
      <c r="K33" s="9">
        <f t="shared" si="3"/>
        <v>0.4189575710830814</v>
      </c>
      <c r="L33" s="9">
        <f t="shared" si="4"/>
        <v>0.5602721626904898</v>
      </c>
      <c r="M33" s="9">
        <f t="shared" si="5"/>
        <v>0.7015867542978984</v>
      </c>
      <c r="N33" s="9">
        <f t="shared" si="6"/>
        <v>0.842901345905307</v>
      </c>
      <c r="O33" s="9">
        <f t="shared" si="7"/>
        <v>0.9515867542978984</v>
      </c>
      <c r="P33" s="9">
        <f>sunrise(Location!$B$4,Location!$B$5,Location!$B$6,7,A33,Location!$B$7,IF(Location!$B$8="No",0,1))</f>
        <v>0.2776429794756729</v>
      </c>
      <c r="Q33" s="9">
        <f>sunset(Location!$B$4,Location!$B$5,Location!$B$6,7,A33,Location!$B$7,IF(Location!$B$8="No",0,1))</f>
        <v>0.842901345905307</v>
      </c>
      <c r="R33" s="9">
        <f t="shared" si="8"/>
        <v>0.565258366429634</v>
      </c>
      <c r="S33" s="10">
        <f t="shared" si="9"/>
        <v>0.04710486386913617</v>
      </c>
      <c r="T33" s="9">
        <f t="shared" si="10"/>
        <v>23.434741633570365</v>
      </c>
      <c r="U33" s="10">
        <f t="shared" si="11"/>
        <v>0.03622846946419716</v>
      </c>
    </row>
    <row r="34" spans="21:22" ht="12.75">
      <c r="U34" s="19"/>
      <c r="V34" s="4"/>
    </row>
    <row r="35" spans="1:22" ht="12.75">
      <c r="A35" s="6"/>
      <c r="U35" s="19"/>
      <c r="V35" s="4"/>
    </row>
    <row r="36" spans="21:22" ht="12.75">
      <c r="U36" s="19"/>
      <c r="V36" s="4"/>
    </row>
    <row r="37" spans="3:4" ht="12.75">
      <c r="C37" s="58" t="str">
        <f>IF(Location!B9="No",Location!C13,Location!C14)</f>
        <v>C</v>
      </c>
      <c r="D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U37"/>
  <sheetViews>
    <sheetView zoomScale="95" zoomScaleNormal="95" zoomScalePageLayoutView="0" workbookViewId="0" topLeftCell="A1">
      <pane xSplit="7" ySplit="2" topLeftCell="H6"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174</v>
      </c>
      <c r="B1" s="122"/>
      <c r="C1" s="122"/>
      <c r="D1" s="122"/>
      <c r="E1" s="123" t="str">
        <f>ROMAN(Location!$B$6)</f>
        <v>MMX</v>
      </c>
      <c r="F1" s="122"/>
      <c r="G1" s="122"/>
      <c r="H1" s="124"/>
      <c r="I1" s="124"/>
      <c r="J1" s="124"/>
      <c r="K1" s="124"/>
      <c r="L1" s="124"/>
      <c r="M1" s="124"/>
      <c r="N1" s="124"/>
      <c r="O1" s="124"/>
      <c r="P1" s="125"/>
      <c r="Q1" s="122"/>
      <c r="R1" s="124"/>
      <c r="S1" s="124"/>
      <c r="T1" s="124"/>
      <c r="U1" s="126"/>
    </row>
    <row r="2" spans="1:21" ht="12.75">
      <c r="A2" s="94"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Iulius!B27</f>
        <v>Sunday</v>
      </c>
      <c r="C3" s="59"/>
      <c r="D3" s="7"/>
      <c r="E3" s="8" t="s">
        <v>24</v>
      </c>
      <c r="F3" s="6" t="s">
        <v>18</v>
      </c>
      <c r="G3" s="134" t="s">
        <v>298</v>
      </c>
      <c r="H3" s="9">
        <f aca="true" t="shared" si="0" ref="H3:H33">(T3/2)+Q3-"12:00:00"</f>
        <v>12.060228731887221</v>
      </c>
      <c r="I3" s="9">
        <f aca="true" t="shared" si="1" ref="I3:I33">H3+((J3-H3)/2)</f>
        <v>6.1691409170497575</v>
      </c>
      <c r="J3" s="9">
        <f aca="true" t="shared" si="2" ref="J3:J33">P3</f>
        <v>0.2780531022122944</v>
      </c>
      <c r="K3" s="9">
        <f aca="true" t="shared" si="3" ref="K3:K33">J3+((L3-J3)/2)</f>
        <v>0.4191409170497575</v>
      </c>
      <c r="L3" s="9">
        <f aca="true" t="shared" si="4" ref="L3:L33">(R3/2)+J3</f>
        <v>0.5602287318872206</v>
      </c>
      <c r="M3" s="9">
        <f aca="true" t="shared" si="5" ref="M3:M33">((N3-L3)/2)+L3</f>
        <v>0.7013165467246837</v>
      </c>
      <c r="N3" s="9">
        <f aca="true" t="shared" si="6" ref="N3:N33">Q3</f>
        <v>0.8424043615621468</v>
      </c>
      <c r="O3" s="9">
        <f aca="true" t="shared" si="7" ref="O3:O33">3*U3+N3</f>
        <v>0.9513165467246837</v>
      </c>
      <c r="P3" s="9">
        <f>sunrise(Location!$B$4,Location!$B$5,Location!$B$6,8,A3,Location!$B$7,IF(Location!$B$8="No",0,1))</f>
        <v>0.2780531022122944</v>
      </c>
      <c r="Q3" s="9">
        <f>sunset(Location!$B$4,Location!$B$5,Location!$B$6,8,A3,Location!$B$7,IF(Location!$B$8="No",0,1))</f>
        <v>0.8424043615621468</v>
      </c>
      <c r="R3" s="9">
        <f aca="true" t="shared" si="8" ref="R3:R33">Q3-P3</f>
        <v>0.5643512593498524</v>
      </c>
      <c r="S3" s="10">
        <f aca="true" t="shared" si="9" ref="S3:S33">R3/12</f>
        <v>0.047029271612487704</v>
      </c>
      <c r="T3" s="9">
        <f aca="true" t="shared" si="10" ref="T3:T33">(24-(Q3-P3))</f>
        <v>23.435648740650148</v>
      </c>
      <c r="U3" s="10">
        <f aca="true" t="shared" si="11" ref="U3:U33">"1:00:00"-S3+"1:00:00"</f>
        <v>0.036304061720845625</v>
      </c>
    </row>
    <row r="4" spans="1:21" ht="12.75">
      <c r="A4" s="5">
        <v>2</v>
      </c>
      <c r="B4" s="6" t="str">
        <f>Iulius!B28</f>
        <v>Monday</v>
      </c>
      <c r="C4" s="59"/>
      <c r="D4" s="95" t="s">
        <v>72</v>
      </c>
      <c r="E4" s="8" t="s">
        <v>26</v>
      </c>
      <c r="F4" s="6" t="s">
        <v>93</v>
      </c>
      <c r="G4" s="130"/>
      <c r="H4" s="9">
        <f t="shared" si="0"/>
        <v>12.060178339109314</v>
      </c>
      <c r="I4" s="9">
        <f t="shared" si="1"/>
        <v>6.169320839423381</v>
      </c>
      <c r="J4" s="9">
        <f t="shared" si="2"/>
        <v>0.27846333973744936</v>
      </c>
      <c r="K4" s="9">
        <f t="shared" si="3"/>
        <v>0.41932083942338094</v>
      </c>
      <c r="L4" s="9">
        <f t="shared" si="4"/>
        <v>0.5601783391093125</v>
      </c>
      <c r="M4" s="9">
        <f t="shared" si="5"/>
        <v>0.701035838795244</v>
      </c>
      <c r="N4" s="9">
        <f t="shared" si="6"/>
        <v>0.8418933384811756</v>
      </c>
      <c r="O4" s="9">
        <f t="shared" si="7"/>
        <v>0.951035838795244</v>
      </c>
      <c r="P4" s="9">
        <f>sunrise(Location!$B$4,Location!$B$5,Location!$B$6,8,A4,Location!$B$7,IF(Location!$B$8="No",0,1))</f>
        <v>0.27846333973744936</v>
      </c>
      <c r="Q4" s="9">
        <f>sunset(Location!$B$4,Location!$B$5,Location!$B$6,8,A4,Location!$B$7,IF(Location!$B$8="No",0,1))</f>
        <v>0.8418933384811756</v>
      </c>
      <c r="R4" s="9">
        <f t="shared" si="8"/>
        <v>0.5634299987437263</v>
      </c>
      <c r="S4" s="10">
        <f t="shared" si="9"/>
        <v>0.04695249989531053</v>
      </c>
      <c r="T4" s="9">
        <f t="shared" si="10"/>
        <v>23.436570001256275</v>
      </c>
      <c r="U4" s="10">
        <f t="shared" si="11"/>
        <v>0.0363808334380228</v>
      </c>
    </row>
    <row r="5" spans="1:21" ht="12.75">
      <c r="A5" s="5">
        <v>3</v>
      </c>
      <c r="B5" s="6" t="str">
        <f>Iulius!B29</f>
        <v>Tuesday</v>
      </c>
      <c r="C5" s="59"/>
      <c r="D5" s="95" t="s">
        <v>75</v>
      </c>
      <c r="E5" s="8" t="s">
        <v>29</v>
      </c>
      <c r="F5" s="6" t="s">
        <v>94</v>
      </c>
      <c r="G5" s="130"/>
      <c r="H5" s="9">
        <f t="shared" si="0"/>
        <v>12.060121000043248</v>
      </c>
      <c r="I5" s="9">
        <f t="shared" si="1"/>
        <v>6.169497249246282</v>
      </c>
      <c r="J5" s="9">
        <f t="shared" si="2"/>
        <v>0.2788734984493165</v>
      </c>
      <c r="K5" s="9">
        <f t="shared" si="3"/>
        <v>0.41949724924628273</v>
      </c>
      <c r="L5" s="9">
        <f t="shared" si="4"/>
        <v>0.5601210000432489</v>
      </c>
      <c r="M5" s="9">
        <f t="shared" si="5"/>
        <v>0.7007447508402151</v>
      </c>
      <c r="N5" s="9">
        <f t="shared" si="6"/>
        <v>0.8413685016371814</v>
      </c>
      <c r="O5" s="9">
        <f t="shared" si="7"/>
        <v>0.9507447508402151</v>
      </c>
      <c r="P5" s="9">
        <f>sunrise(Location!$B$4,Location!$B$5,Location!$B$6,8,A5,Location!$B$7,IF(Location!$B$8="No",0,1))</f>
        <v>0.2788734984493165</v>
      </c>
      <c r="Q5" s="9">
        <f>sunset(Location!$B$4,Location!$B$5,Location!$B$6,8,A5,Location!$B$7,IF(Location!$B$8="No",0,1))</f>
        <v>0.8413685016371814</v>
      </c>
      <c r="R5" s="9">
        <f t="shared" si="8"/>
        <v>0.5624950031878648</v>
      </c>
      <c r="S5" s="10">
        <f t="shared" si="9"/>
        <v>0.04687458359898874</v>
      </c>
      <c r="T5" s="9">
        <f t="shared" si="10"/>
        <v>23.437504996812134</v>
      </c>
      <c r="U5" s="10">
        <f t="shared" si="11"/>
        <v>0.03645874973434459</v>
      </c>
    </row>
    <row r="6" spans="1:21" ht="12.75">
      <c r="A6" s="5">
        <v>4</v>
      </c>
      <c r="B6" s="6" t="str">
        <f>Iulius!B30</f>
        <v>Wednesday</v>
      </c>
      <c r="C6" s="59"/>
      <c r="D6" s="7"/>
      <c r="E6" s="8" t="s">
        <v>32</v>
      </c>
      <c r="F6" s="6" t="s">
        <v>27</v>
      </c>
      <c r="G6" s="130"/>
      <c r="H6" s="9">
        <f t="shared" si="0"/>
        <v>12.060056739017664</v>
      </c>
      <c r="I6" s="9">
        <f t="shared" si="1"/>
        <v>6.1696700673553435</v>
      </c>
      <c r="J6" s="9">
        <f t="shared" si="2"/>
        <v>0.2792833956930235</v>
      </c>
      <c r="K6" s="9">
        <f t="shared" si="3"/>
        <v>0.4196700673553443</v>
      </c>
      <c r="L6" s="9">
        <f t="shared" si="4"/>
        <v>0.5600567390176651</v>
      </c>
      <c r="M6" s="9">
        <f t="shared" si="5"/>
        <v>0.7004434106799858</v>
      </c>
      <c r="N6" s="9">
        <f t="shared" si="6"/>
        <v>0.8408300823423066</v>
      </c>
      <c r="O6" s="9">
        <f t="shared" si="7"/>
        <v>0.9504434106799858</v>
      </c>
      <c r="P6" s="9">
        <f>sunrise(Location!$B$4,Location!$B$5,Location!$B$6,8,A6,Location!$B$7,IF(Location!$B$8="No",0,1))</f>
        <v>0.2792833956930235</v>
      </c>
      <c r="Q6" s="9">
        <f>sunset(Location!$B$4,Location!$B$5,Location!$B$6,8,A6,Location!$B$7,IF(Location!$B$8="No",0,1))</f>
        <v>0.8408300823423066</v>
      </c>
      <c r="R6" s="9">
        <f t="shared" si="8"/>
        <v>0.5615466866492831</v>
      </c>
      <c r="S6" s="10">
        <f t="shared" si="9"/>
        <v>0.04679555722077359</v>
      </c>
      <c r="T6" s="9">
        <f t="shared" si="10"/>
        <v>23.438453313350717</v>
      </c>
      <c r="U6" s="10">
        <f t="shared" si="11"/>
        <v>0.03653777611255974</v>
      </c>
    </row>
    <row r="7" spans="1:21" ht="12.75">
      <c r="A7" s="5">
        <v>5</v>
      </c>
      <c r="B7" s="6" t="str">
        <f>Iulius!B31</f>
        <v>Thursday</v>
      </c>
      <c r="C7" s="59"/>
      <c r="D7" s="95" t="s">
        <v>20</v>
      </c>
      <c r="E7" s="8" t="s">
        <v>36</v>
      </c>
      <c r="F7" s="6" t="s">
        <v>30</v>
      </c>
      <c r="G7" s="130"/>
      <c r="H7" s="9">
        <f t="shared" si="0"/>
        <v>12.059985588850939</v>
      </c>
      <c r="I7" s="9">
        <f t="shared" si="1"/>
        <v>6.169839224325875</v>
      </c>
      <c r="J7" s="9">
        <f t="shared" si="2"/>
        <v>0.2796928598008109</v>
      </c>
      <c r="K7" s="9">
        <f t="shared" si="3"/>
        <v>0.4198392243258743</v>
      </c>
      <c r="L7" s="9">
        <f t="shared" si="4"/>
        <v>0.5599855888509377</v>
      </c>
      <c r="M7" s="9">
        <f t="shared" si="5"/>
        <v>0.7001319533760011</v>
      </c>
      <c r="N7" s="9">
        <f t="shared" si="6"/>
        <v>0.8402783179010646</v>
      </c>
      <c r="O7" s="9">
        <f t="shared" si="7"/>
        <v>0.9501319533760011</v>
      </c>
      <c r="P7" s="9">
        <f>sunrise(Location!$B$4,Location!$B$5,Location!$B$6,8,A7,Location!$B$7,IF(Location!$B$8="No",0,1))</f>
        <v>0.2796928598008109</v>
      </c>
      <c r="Q7" s="9">
        <f>sunset(Location!$B$4,Location!$B$5,Location!$B$6,8,A7,Location!$B$7,IF(Location!$B$8="No",0,1))</f>
        <v>0.8402783179010646</v>
      </c>
      <c r="R7" s="9">
        <f t="shared" si="8"/>
        <v>0.5605854581002536</v>
      </c>
      <c r="S7" s="10">
        <f t="shared" si="9"/>
        <v>0.0467154548416878</v>
      </c>
      <c r="T7" s="9">
        <f t="shared" si="10"/>
        <v>23.439414541899747</v>
      </c>
      <c r="U7" s="10">
        <f t="shared" si="11"/>
        <v>0.03661787849164553</v>
      </c>
    </row>
    <row r="8" spans="1:21" ht="12.75">
      <c r="A8" s="5">
        <v>6</v>
      </c>
      <c r="B8" s="6" t="str">
        <f>Iulius!B32</f>
        <v>Friday</v>
      </c>
      <c r="C8" s="59"/>
      <c r="D8" s="7"/>
      <c r="E8" s="8" t="s">
        <v>17</v>
      </c>
      <c r="F8" s="6" t="s">
        <v>95</v>
      </c>
      <c r="G8" s="48" t="s">
        <v>140</v>
      </c>
      <c r="H8" s="9">
        <f t="shared" si="0"/>
        <v>12.05990759068769</v>
      </c>
      <c r="I8" s="9">
        <f t="shared" si="1"/>
        <v>6.170004660396447</v>
      </c>
      <c r="J8" s="9">
        <f t="shared" si="2"/>
        <v>0.28010173010520434</v>
      </c>
      <c r="K8" s="9">
        <f t="shared" si="3"/>
        <v>0.42000466039644696</v>
      </c>
      <c r="L8" s="9">
        <f t="shared" si="4"/>
        <v>0.5599075906876896</v>
      </c>
      <c r="M8" s="9">
        <f t="shared" si="5"/>
        <v>0.6998105209789323</v>
      </c>
      <c r="N8" s="9">
        <f t="shared" si="6"/>
        <v>0.8397134512701749</v>
      </c>
      <c r="O8" s="9">
        <f t="shared" si="7"/>
        <v>0.9498105209789323</v>
      </c>
      <c r="P8" s="9">
        <f>sunrise(Location!$B$4,Location!$B$5,Location!$B$6,8,A8,Location!$B$7,IF(Location!$B$8="No",0,1))</f>
        <v>0.28010173010520434</v>
      </c>
      <c r="Q8" s="9">
        <f>sunset(Location!$B$4,Location!$B$5,Location!$B$6,8,A8,Location!$B$7,IF(Location!$B$8="No",0,1))</f>
        <v>0.8397134512701749</v>
      </c>
      <c r="R8" s="9">
        <f t="shared" si="8"/>
        <v>0.5596117211649706</v>
      </c>
      <c r="S8" s="10">
        <f t="shared" si="9"/>
        <v>0.04663431009708088</v>
      </c>
      <c r="T8" s="9">
        <f t="shared" si="10"/>
        <v>23.44038827883503</v>
      </c>
      <c r="U8" s="10">
        <f t="shared" si="11"/>
        <v>0.036699023236252445</v>
      </c>
    </row>
    <row r="9" spans="1:21" ht="12.75">
      <c r="A9" s="5">
        <v>7</v>
      </c>
      <c r="B9" s="6" t="str">
        <f>Iulius!B33</f>
        <v>Saturday</v>
      </c>
      <c r="C9" s="59"/>
      <c r="D9" s="95" t="s">
        <v>23</v>
      </c>
      <c r="E9" s="8" t="s">
        <v>21</v>
      </c>
      <c r="F9" s="6" t="s">
        <v>96</v>
      </c>
      <c r="G9" s="130"/>
      <c r="H9" s="9">
        <f t="shared" si="0"/>
        <v>12.059822793826235</v>
      </c>
      <c r="I9" s="9">
        <f t="shared" si="1"/>
        <v>6.170166325376073</v>
      </c>
      <c r="J9" s="9">
        <f t="shared" si="2"/>
        <v>0.28050985692590935</v>
      </c>
      <c r="K9" s="9">
        <f t="shared" si="3"/>
        <v>0.4201663253760723</v>
      </c>
      <c r="L9" s="9">
        <f t="shared" si="4"/>
        <v>0.5598227938262352</v>
      </c>
      <c r="M9" s="9">
        <f t="shared" si="5"/>
        <v>0.6994792622763981</v>
      </c>
      <c r="N9" s="9">
        <f t="shared" si="6"/>
        <v>0.8391357307265611</v>
      </c>
      <c r="O9" s="9">
        <f t="shared" si="7"/>
        <v>0.9494792622763981</v>
      </c>
      <c r="P9" s="9">
        <f>sunrise(Location!$B$4,Location!$B$5,Location!$B$6,8,A9,Location!$B$7,IF(Location!$B$8="No",0,1))</f>
        <v>0.28050985692590935</v>
      </c>
      <c r="Q9" s="9">
        <f>sunset(Location!$B$4,Location!$B$5,Location!$B$6,8,A9,Location!$B$7,IF(Location!$B$8="No",0,1))</f>
        <v>0.8391357307265611</v>
      </c>
      <c r="R9" s="9">
        <f t="shared" si="8"/>
        <v>0.5586258738006518</v>
      </c>
      <c r="S9" s="10">
        <f t="shared" si="9"/>
        <v>0.046552156150054314</v>
      </c>
      <c r="T9" s="9">
        <f t="shared" si="10"/>
        <v>23.44137412619935</v>
      </c>
      <c r="U9" s="10">
        <f t="shared" si="11"/>
        <v>0.036781177183279015</v>
      </c>
    </row>
    <row r="10" spans="1:21" ht="12.75">
      <c r="A10" s="5">
        <v>8</v>
      </c>
      <c r="B10" s="6" t="str">
        <f aca="true" t="shared" si="12" ref="B10:B16">B3</f>
        <v>Sunday</v>
      </c>
      <c r="C10" s="59"/>
      <c r="D10" s="95" t="s">
        <v>28</v>
      </c>
      <c r="E10" s="8" t="s">
        <v>24</v>
      </c>
      <c r="F10" s="6" t="s">
        <v>97</v>
      </c>
      <c r="G10" s="134" t="s">
        <v>299</v>
      </c>
      <c r="H10" s="9">
        <f t="shared" si="0"/>
        <v>12.059731255537391</v>
      </c>
      <c r="I10" s="9">
        <f t="shared" si="1"/>
        <v>6.170324178535927</v>
      </c>
      <c r="J10" s="9">
        <f t="shared" si="2"/>
        <v>0.280917101534463</v>
      </c>
      <c r="K10" s="9">
        <f t="shared" si="3"/>
        <v>0.4203241785359272</v>
      </c>
      <c r="L10" s="9">
        <f t="shared" si="4"/>
        <v>0.5597312555373914</v>
      </c>
      <c r="M10" s="9">
        <f t="shared" si="5"/>
        <v>0.6991383325388557</v>
      </c>
      <c r="N10" s="9">
        <f t="shared" si="6"/>
        <v>0.83854540954032</v>
      </c>
      <c r="O10" s="9">
        <f t="shared" si="7"/>
        <v>0.9491383325388557</v>
      </c>
      <c r="P10" s="9">
        <f>sunrise(Location!$B$4,Location!$B$5,Location!$B$6,8,A10,Location!$B$7,IF(Location!$B$8="No",0,1))</f>
        <v>0.280917101534463</v>
      </c>
      <c r="Q10" s="9">
        <f>sunset(Location!$B$4,Location!$B$5,Location!$B$6,8,A10,Location!$B$7,IF(Location!$B$8="No",0,1))</f>
        <v>0.83854540954032</v>
      </c>
      <c r="R10" s="9">
        <f t="shared" si="8"/>
        <v>0.557628308005857</v>
      </c>
      <c r="S10" s="10">
        <f t="shared" si="9"/>
        <v>0.04646902566715475</v>
      </c>
      <c r="T10" s="9">
        <f t="shared" si="10"/>
        <v>23.442371691994143</v>
      </c>
      <c r="U10" s="10">
        <f t="shared" si="11"/>
        <v>0.036864307666178577</v>
      </c>
    </row>
    <row r="11" spans="1:21" ht="12.75">
      <c r="A11" s="5">
        <v>9</v>
      </c>
      <c r="B11" s="6" t="str">
        <f t="shared" si="12"/>
        <v>Monday</v>
      </c>
      <c r="C11" s="59"/>
      <c r="D11" s="7"/>
      <c r="E11" s="8" t="s">
        <v>26</v>
      </c>
      <c r="F11" s="6" t="s">
        <v>98</v>
      </c>
      <c r="G11" s="130"/>
      <c r="H11" s="9">
        <f t="shared" si="0"/>
        <v>12.059633040874946</v>
      </c>
      <c r="I11" s="9">
        <f t="shared" si="1"/>
        <v>6.170478188484219</v>
      </c>
      <c r="J11" s="9">
        <f t="shared" si="2"/>
        <v>0.28132333609349136</v>
      </c>
      <c r="K11" s="9">
        <f t="shared" si="3"/>
        <v>0.4204781884842187</v>
      </c>
      <c r="L11" s="9">
        <f t="shared" si="4"/>
        <v>0.559633040874946</v>
      </c>
      <c r="M11" s="9">
        <f t="shared" si="5"/>
        <v>0.6987878932656734</v>
      </c>
      <c r="N11" s="9">
        <f t="shared" si="6"/>
        <v>0.8379427456564007</v>
      </c>
      <c r="O11" s="9">
        <f t="shared" si="7"/>
        <v>0.9487878932656734</v>
      </c>
      <c r="P11" s="9">
        <f>sunrise(Location!$B$4,Location!$B$5,Location!$B$6,8,A11,Location!$B$7,IF(Location!$B$8="No",0,1))</f>
        <v>0.28132333609349136</v>
      </c>
      <c r="Q11" s="9">
        <f>sunset(Location!$B$4,Location!$B$5,Location!$B$6,8,A11,Location!$B$7,IF(Location!$B$8="No",0,1))</f>
        <v>0.8379427456564007</v>
      </c>
      <c r="R11" s="9">
        <f t="shared" si="8"/>
        <v>0.5566194095629093</v>
      </c>
      <c r="S11" s="10">
        <f t="shared" si="9"/>
        <v>0.04638495079690911</v>
      </c>
      <c r="T11" s="9">
        <f t="shared" si="10"/>
        <v>23.44338059043709</v>
      </c>
      <c r="U11" s="10">
        <f t="shared" si="11"/>
        <v>0.03694838253642422</v>
      </c>
    </row>
    <row r="12" spans="1:21" ht="12.75">
      <c r="A12" s="5">
        <v>10</v>
      </c>
      <c r="B12" s="6" t="str">
        <f t="shared" si="12"/>
        <v>Tuesday</v>
      </c>
      <c r="C12" s="59"/>
      <c r="D12" s="95" t="s">
        <v>35</v>
      </c>
      <c r="E12" s="8" t="s">
        <v>29</v>
      </c>
      <c r="F12" s="6" t="s">
        <v>99</v>
      </c>
      <c r="G12" s="130"/>
      <c r="H12" s="9">
        <f t="shared" si="0"/>
        <v>12.05952822248143</v>
      </c>
      <c r="I12" s="9">
        <f t="shared" si="1"/>
        <v>6.170628333029115</v>
      </c>
      <c r="J12" s="9">
        <f t="shared" si="2"/>
        <v>0.28172844357679894</v>
      </c>
      <c r="K12" s="9">
        <f t="shared" si="3"/>
        <v>0.42062833302911523</v>
      </c>
      <c r="L12" s="9">
        <f t="shared" si="4"/>
        <v>0.5595282224814315</v>
      </c>
      <c r="M12" s="9">
        <f t="shared" si="5"/>
        <v>0.6984281119337478</v>
      </c>
      <c r="N12" s="9">
        <f t="shared" si="6"/>
        <v>0.837328001386064</v>
      </c>
      <c r="O12" s="9">
        <f t="shared" si="7"/>
        <v>0.9484281119337478</v>
      </c>
      <c r="P12" s="9">
        <f>sunrise(Location!$B$4,Location!$B$5,Location!$B$6,8,A12,Location!$B$7,IF(Location!$B$8="No",0,1))</f>
        <v>0.28172844357679894</v>
      </c>
      <c r="Q12" s="9">
        <f>sunset(Location!$B$4,Location!$B$5,Location!$B$6,8,A12,Location!$B$7,IF(Location!$B$8="No",0,1))</f>
        <v>0.837328001386064</v>
      </c>
      <c r="R12" s="9">
        <f t="shared" si="8"/>
        <v>0.5555995578092651</v>
      </c>
      <c r="S12" s="10">
        <f t="shared" si="9"/>
        <v>0.04629996315077209</v>
      </c>
      <c r="T12" s="9">
        <f t="shared" si="10"/>
        <v>23.444400442190734</v>
      </c>
      <c r="U12" s="10">
        <f t="shared" si="11"/>
        <v>0.03703337018256124</v>
      </c>
    </row>
    <row r="13" spans="1:21" ht="12.75">
      <c r="A13" s="5">
        <v>11</v>
      </c>
      <c r="B13" s="6" t="str">
        <f t="shared" si="12"/>
        <v>Wednesday</v>
      </c>
      <c r="C13" s="59"/>
      <c r="D13" s="95" t="s">
        <v>38</v>
      </c>
      <c r="E13" s="8" t="s">
        <v>32</v>
      </c>
      <c r="F13" s="6" t="s">
        <v>101</v>
      </c>
      <c r="G13" s="130"/>
      <c r="H13" s="9">
        <f t="shared" si="0"/>
        <v>12.059416880385022</v>
      </c>
      <c r="I13" s="9">
        <f t="shared" si="1"/>
        <v>6.17077459902603</v>
      </c>
      <c r="J13" s="9">
        <f t="shared" si="2"/>
        <v>0.28213231766703767</v>
      </c>
      <c r="K13" s="9">
        <f t="shared" si="3"/>
        <v>0.4207745990260303</v>
      </c>
      <c r="L13" s="9">
        <f t="shared" si="4"/>
        <v>0.559416880385023</v>
      </c>
      <c r="M13" s="9">
        <f t="shared" si="5"/>
        <v>0.6980591617440156</v>
      </c>
      <c r="N13" s="9">
        <f t="shared" si="6"/>
        <v>0.8367014431030082</v>
      </c>
      <c r="O13" s="9">
        <f t="shared" si="7"/>
        <v>0.9480591617440155</v>
      </c>
      <c r="P13" s="9">
        <f>sunrise(Location!$B$4,Location!$B$5,Location!$B$6,8,A13,Location!$B$7,IF(Location!$B$8="No",0,1))</f>
        <v>0.28213231766703767</v>
      </c>
      <c r="Q13" s="9">
        <f>sunset(Location!$B$4,Location!$B$5,Location!$B$6,8,A13,Location!$B$7,IF(Location!$B$8="No",0,1))</f>
        <v>0.8367014431030082</v>
      </c>
      <c r="R13" s="9">
        <f t="shared" si="8"/>
        <v>0.5545691254359706</v>
      </c>
      <c r="S13" s="10">
        <f t="shared" si="9"/>
        <v>0.04621409378633088</v>
      </c>
      <c r="T13" s="9">
        <f t="shared" si="10"/>
        <v>23.44543087456403</v>
      </c>
      <c r="U13" s="10">
        <f t="shared" si="11"/>
        <v>0.03711923954700245</v>
      </c>
    </row>
    <row r="14" spans="1:21" ht="12.75">
      <c r="A14" s="5">
        <v>12</v>
      </c>
      <c r="B14" s="6" t="str">
        <f t="shared" si="12"/>
        <v>Thursday</v>
      </c>
      <c r="C14" s="59"/>
      <c r="D14" s="7"/>
      <c r="E14" s="8" t="s">
        <v>36</v>
      </c>
      <c r="F14" s="6" t="s">
        <v>46</v>
      </c>
      <c r="G14" s="130"/>
      <c r="H14" s="9">
        <f t="shared" si="0"/>
        <v>12.059299101795265</v>
      </c>
      <c r="I14" s="9">
        <f t="shared" si="1"/>
        <v>6.170916982215589</v>
      </c>
      <c r="J14" s="9">
        <f t="shared" si="2"/>
        <v>0.2825348626359134</v>
      </c>
      <c r="K14" s="9">
        <f t="shared" si="3"/>
        <v>0.4209169822155894</v>
      </c>
      <c r="L14" s="9">
        <f t="shared" si="4"/>
        <v>0.5592991017952653</v>
      </c>
      <c r="M14" s="9">
        <f t="shared" si="5"/>
        <v>0.6976812213749414</v>
      </c>
      <c r="N14" s="9">
        <f t="shared" si="6"/>
        <v>0.8360633409546174</v>
      </c>
      <c r="O14" s="9">
        <f t="shared" si="7"/>
        <v>0.9476812213749415</v>
      </c>
      <c r="P14" s="9">
        <f>sunrise(Location!$B$4,Location!$B$5,Location!$B$6,8,A14,Location!$B$7,IF(Location!$B$8="No",0,1))</f>
        <v>0.2825348626359134</v>
      </c>
      <c r="Q14" s="9">
        <f>sunset(Location!$B$4,Location!$B$5,Location!$B$6,8,A14,Location!$B$7,IF(Location!$B$8="No",0,1))</f>
        <v>0.8360633409546174</v>
      </c>
      <c r="R14" s="9">
        <f t="shared" si="8"/>
        <v>0.553528478318704</v>
      </c>
      <c r="S14" s="10">
        <f t="shared" si="9"/>
        <v>0.04612737319322533</v>
      </c>
      <c r="T14" s="9">
        <f t="shared" si="10"/>
        <v>23.446471521681296</v>
      </c>
      <c r="U14" s="10">
        <f t="shared" si="11"/>
        <v>0.037205960140108</v>
      </c>
    </row>
    <row r="15" spans="1:21" ht="12.75">
      <c r="A15" s="5">
        <v>13</v>
      </c>
      <c r="B15" s="6" t="str">
        <f t="shared" si="12"/>
        <v>Friday</v>
      </c>
      <c r="C15" s="59"/>
      <c r="D15" s="95" t="s">
        <v>40</v>
      </c>
      <c r="E15" s="8" t="s">
        <v>17</v>
      </c>
      <c r="F15" s="6" t="s">
        <v>47</v>
      </c>
      <c r="G15" s="130"/>
      <c r="H15" s="9">
        <f t="shared" si="0"/>
        <v>12.059174980891758</v>
      </c>
      <c r="I15" s="9">
        <f t="shared" si="1"/>
        <v>6.171055487048786</v>
      </c>
      <c r="J15" s="9">
        <f t="shared" si="2"/>
        <v>0.28293599320581503</v>
      </c>
      <c r="K15" s="9">
        <f t="shared" si="3"/>
        <v>0.42105548704878637</v>
      </c>
      <c r="L15" s="9">
        <f t="shared" si="4"/>
        <v>0.5591749808917577</v>
      </c>
      <c r="M15" s="9">
        <f t="shared" si="5"/>
        <v>0.6972944747347289</v>
      </c>
      <c r="N15" s="9">
        <f t="shared" si="6"/>
        <v>0.8354139685777001</v>
      </c>
      <c r="O15" s="9">
        <f t="shared" si="7"/>
        <v>0.9472944747347288</v>
      </c>
      <c r="P15" s="9">
        <f>sunrise(Location!$B$4,Location!$B$5,Location!$B$6,8,A15,Location!$B$7,IF(Location!$B$8="No",0,1))</f>
        <v>0.28293599320581503</v>
      </c>
      <c r="Q15" s="9">
        <f>sunset(Location!$B$4,Location!$B$5,Location!$B$6,8,A15,Location!$B$7,IF(Location!$B$8="No",0,1))</f>
        <v>0.8354139685777001</v>
      </c>
      <c r="R15" s="9">
        <f t="shared" si="8"/>
        <v>0.5524779753718851</v>
      </c>
      <c r="S15" s="10">
        <f t="shared" si="9"/>
        <v>0.04603983128099043</v>
      </c>
      <c r="T15" s="9">
        <f t="shared" si="10"/>
        <v>23.447522024628114</v>
      </c>
      <c r="U15" s="10">
        <f t="shared" si="11"/>
        <v>0.0372935020523429</v>
      </c>
    </row>
    <row r="16" spans="1:21" ht="12.75">
      <c r="A16" s="5">
        <v>14</v>
      </c>
      <c r="B16" s="6" t="str">
        <f t="shared" si="12"/>
        <v>Saturday</v>
      </c>
      <c r="C16" s="59"/>
      <c r="D16" s="95" t="s">
        <v>42</v>
      </c>
      <c r="E16" s="8" t="s">
        <v>21</v>
      </c>
      <c r="F16" s="6" t="s">
        <v>141</v>
      </c>
      <c r="G16" s="130"/>
      <c r="H16" s="9">
        <f t="shared" si="0"/>
        <v>12.05904461861239</v>
      </c>
      <c r="I16" s="9">
        <f t="shared" si="1"/>
        <v>6.171190126504073</v>
      </c>
      <c r="J16" s="9">
        <f t="shared" si="2"/>
        <v>0.2833356343957558</v>
      </c>
      <c r="K16" s="9">
        <f t="shared" si="3"/>
        <v>0.42119012650407284</v>
      </c>
      <c r="L16" s="9">
        <f t="shared" si="4"/>
        <v>0.5590446186123899</v>
      </c>
      <c r="M16" s="9">
        <f t="shared" si="5"/>
        <v>0.6968991107207068</v>
      </c>
      <c r="N16" s="9">
        <f t="shared" si="6"/>
        <v>0.8347536028290238</v>
      </c>
      <c r="O16" s="9">
        <f t="shared" si="7"/>
        <v>0.9468991107207068</v>
      </c>
      <c r="P16" s="9">
        <f>sunrise(Location!$B$4,Location!$B$5,Location!$B$6,8,A16,Location!$B$7,IF(Location!$B$8="No",0,1))</f>
        <v>0.2833356343957558</v>
      </c>
      <c r="Q16" s="9">
        <f>sunset(Location!$B$4,Location!$B$5,Location!$B$6,8,A16,Location!$B$7,IF(Location!$B$8="No",0,1))</f>
        <v>0.8347536028290238</v>
      </c>
      <c r="R16" s="9">
        <f t="shared" si="8"/>
        <v>0.551417968433268</v>
      </c>
      <c r="S16" s="10">
        <f t="shared" si="9"/>
        <v>0.045951497369438994</v>
      </c>
      <c r="T16" s="9">
        <f t="shared" si="10"/>
        <v>23.448582031566733</v>
      </c>
      <c r="U16" s="10">
        <f t="shared" si="11"/>
        <v>0.037381835963894335</v>
      </c>
    </row>
    <row r="17" spans="1:21" ht="12.75">
      <c r="A17" s="5">
        <v>15</v>
      </c>
      <c r="B17" s="6" t="str">
        <f aca="true" t="shared" si="13" ref="B17:B23">B3</f>
        <v>Sunday</v>
      </c>
      <c r="C17" s="59"/>
      <c r="D17" s="7"/>
      <c r="E17" s="8" t="s">
        <v>24</v>
      </c>
      <c r="F17" s="6" t="s">
        <v>122</v>
      </c>
      <c r="G17" s="134" t="s">
        <v>300</v>
      </c>
      <c r="H17" s="9">
        <f t="shared" si="0"/>
        <v>12.058908122437872</v>
      </c>
      <c r="I17" s="9">
        <f t="shared" si="1"/>
        <v>6.171320921894779</v>
      </c>
      <c r="J17" s="9">
        <f t="shared" si="2"/>
        <v>0.2837337213516849</v>
      </c>
      <c r="K17" s="9">
        <f t="shared" si="3"/>
        <v>0.42132092189477854</v>
      </c>
      <c r="L17" s="9">
        <f t="shared" si="4"/>
        <v>0.5589081224378722</v>
      </c>
      <c r="M17" s="9">
        <f t="shared" si="5"/>
        <v>0.6964953229809661</v>
      </c>
      <c r="N17" s="9">
        <f t="shared" si="6"/>
        <v>0.8340825235240598</v>
      </c>
      <c r="O17" s="9">
        <f t="shared" si="7"/>
        <v>0.9464953229809661</v>
      </c>
      <c r="P17" s="9">
        <f>sunrise(Location!$B$4,Location!$B$5,Location!$B$6,8,A17,Location!$B$7,IF(Location!$B$8="No",0,1))</f>
        <v>0.2837337213516849</v>
      </c>
      <c r="Q17" s="9">
        <f>sunset(Location!$B$4,Location!$B$5,Location!$B$6,8,A17,Location!$B$7,IF(Location!$B$8="No",0,1))</f>
        <v>0.8340825235240598</v>
      </c>
      <c r="R17" s="9">
        <f t="shared" si="8"/>
        <v>0.5503488021723748</v>
      </c>
      <c r="S17" s="10">
        <f t="shared" si="9"/>
        <v>0.045862400181031236</v>
      </c>
      <c r="T17" s="9">
        <f t="shared" si="10"/>
        <v>23.449651197827624</v>
      </c>
      <c r="U17" s="10">
        <f t="shared" si="11"/>
        <v>0.03747093315230209</v>
      </c>
    </row>
    <row r="18" spans="1:21" ht="12.75">
      <c r="A18" s="5">
        <v>16</v>
      </c>
      <c r="B18" s="6" t="str">
        <f t="shared" si="13"/>
        <v>Monday</v>
      </c>
      <c r="C18" s="59"/>
      <c r="D18" s="95" t="s">
        <v>45</v>
      </c>
      <c r="E18" s="8" t="s">
        <v>26</v>
      </c>
      <c r="F18" s="6" t="s">
        <v>102</v>
      </c>
      <c r="G18" s="141" t="s">
        <v>297</v>
      </c>
      <c r="H18" s="9">
        <f t="shared" si="0"/>
        <v>12.058765606175815</v>
      </c>
      <c r="I18" s="9">
        <f t="shared" si="1"/>
        <v>6.171447902670286</v>
      </c>
      <c r="J18" s="9">
        <f t="shared" si="2"/>
        <v>0.28413019916475707</v>
      </c>
      <c r="K18" s="9">
        <f t="shared" si="3"/>
        <v>0.42144790267028653</v>
      </c>
      <c r="L18" s="9">
        <f t="shared" si="4"/>
        <v>0.5587656061758159</v>
      </c>
      <c r="M18" s="9">
        <f t="shared" si="5"/>
        <v>0.6960833096813455</v>
      </c>
      <c r="N18" s="9">
        <f t="shared" si="6"/>
        <v>0.833401013186875</v>
      </c>
      <c r="O18" s="9">
        <f t="shared" si="7"/>
        <v>0.9460833096813455</v>
      </c>
      <c r="P18" s="9">
        <f>sunrise(Location!$B$4,Location!$B$5,Location!$B$6,8,A18,Location!$B$7,IF(Location!$B$8="No",0,1))</f>
        <v>0.28413019916475707</v>
      </c>
      <c r="Q18" s="9">
        <f>sunset(Location!$B$4,Location!$B$5,Location!$B$6,8,A18,Location!$B$7,IF(Location!$B$8="No",0,1))</f>
        <v>0.833401013186875</v>
      </c>
      <c r="R18" s="9">
        <f t="shared" si="8"/>
        <v>0.5492708140221179</v>
      </c>
      <c r="S18" s="10">
        <f t="shared" si="9"/>
        <v>0.04577256783517649</v>
      </c>
      <c r="T18" s="9">
        <f t="shared" si="10"/>
        <v>23.45072918597788</v>
      </c>
      <c r="U18" s="10">
        <f t="shared" si="11"/>
        <v>0.03756076549815684</v>
      </c>
    </row>
    <row r="19" spans="1:21" ht="12.75">
      <c r="A19" s="5">
        <v>17</v>
      </c>
      <c r="B19" s="6" t="str">
        <f t="shared" si="13"/>
        <v>Tuesday</v>
      </c>
      <c r="C19" s="59"/>
      <c r="D19" s="7"/>
      <c r="E19" s="8" t="s">
        <v>29</v>
      </c>
      <c r="F19" s="6" t="s">
        <v>103</v>
      </c>
      <c r="G19" s="130"/>
      <c r="H19" s="9">
        <f t="shared" si="0"/>
        <v>12.058617189744412</v>
      </c>
      <c r="I19" s="9">
        <f t="shared" si="1"/>
        <v>6.17157110620971</v>
      </c>
      <c r="J19" s="9">
        <f t="shared" si="2"/>
        <v>0.28452502267500773</v>
      </c>
      <c r="K19" s="9">
        <f t="shared" si="3"/>
        <v>0.4215711062097096</v>
      </c>
      <c r="L19" s="9">
        <f t="shared" si="4"/>
        <v>0.5586171897444114</v>
      </c>
      <c r="M19" s="9">
        <f t="shared" si="5"/>
        <v>0.6956632732791134</v>
      </c>
      <c r="N19" s="9">
        <f t="shared" si="6"/>
        <v>0.8327093568138153</v>
      </c>
      <c r="O19" s="9">
        <f t="shared" si="7"/>
        <v>0.9456632732791134</v>
      </c>
      <c r="P19" s="9">
        <f>sunrise(Location!$B$4,Location!$B$5,Location!$B$6,8,A19,Location!$B$7,IF(Location!$B$8="No",0,1))</f>
        <v>0.28452502267500773</v>
      </c>
      <c r="Q19" s="9">
        <f>sunset(Location!$B$4,Location!$B$5,Location!$B$6,8,A19,Location!$B$7,IF(Location!$B$8="No",0,1))</f>
        <v>0.8327093568138153</v>
      </c>
      <c r="R19" s="9">
        <f t="shared" si="8"/>
        <v>0.5481843341388075</v>
      </c>
      <c r="S19" s="10">
        <f t="shared" si="9"/>
        <v>0.04568202784490063</v>
      </c>
      <c r="T19" s="9">
        <f t="shared" si="10"/>
        <v>23.451815665861194</v>
      </c>
      <c r="U19" s="10">
        <f t="shared" si="11"/>
        <v>0.0376513054884327</v>
      </c>
    </row>
    <row r="20" spans="1:21" ht="12.75">
      <c r="A20" s="5">
        <v>18</v>
      </c>
      <c r="B20" s="6" t="str">
        <f t="shared" si="13"/>
        <v>Wednesday</v>
      </c>
      <c r="C20" s="59"/>
      <c r="D20" s="95" t="s">
        <v>48</v>
      </c>
      <c r="E20" s="8" t="s">
        <v>32</v>
      </c>
      <c r="F20" s="6" t="s">
        <v>105</v>
      </c>
      <c r="G20" s="130"/>
      <c r="H20" s="9">
        <f t="shared" si="0"/>
        <v>12.058462998957</v>
      </c>
      <c r="I20" s="9">
        <f t="shared" si="1"/>
        <v>6.171690577611881</v>
      </c>
      <c r="J20" s="9">
        <f t="shared" si="2"/>
        <v>0.28491815626676303</v>
      </c>
      <c r="K20" s="9">
        <f t="shared" si="3"/>
        <v>0.421690577611881</v>
      </c>
      <c r="L20" s="9">
        <f t="shared" si="4"/>
        <v>0.5584629989569989</v>
      </c>
      <c r="M20" s="9">
        <f t="shared" si="5"/>
        <v>0.6952354203021168</v>
      </c>
      <c r="N20" s="9">
        <f t="shared" si="6"/>
        <v>0.8320078416472347</v>
      </c>
      <c r="O20" s="9">
        <f t="shared" si="7"/>
        <v>0.9452354203021168</v>
      </c>
      <c r="P20" s="9">
        <f>sunrise(Location!$B$4,Location!$B$5,Location!$B$6,8,A20,Location!$B$7,IF(Location!$B$8="No",0,1))</f>
        <v>0.28491815626676303</v>
      </c>
      <c r="Q20" s="9">
        <f>sunset(Location!$B$4,Location!$B$5,Location!$B$6,8,A20,Location!$B$7,IF(Location!$B$8="No",0,1))</f>
        <v>0.8320078416472347</v>
      </c>
      <c r="R20" s="9">
        <f t="shared" si="8"/>
        <v>0.5470896853804716</v>
      </c>
      <c r="S20" s="10">
        <f t="shared" si="9"/>
        <v>0.0455908071150393</v>
      </c>
      <c r="T20" s="9">
        <f t="shared" si="10"/>
        <v>23.45291031461953</v>
      </c>
      <c r="U20" s="10">
        <f t="shared" si="11"/>
        <v>0.03774252621829403</v>
      </c>
    </row>
    <row r="21" spans="1:21" ht="12.75">
      <c r="A21" s="5">
        <v>19</v>
      </c>
      <c r="B21" s="6" t="str">
        <f t="shared" si="13"/>
        <v>Thursday</v>
      </c>
      <c r="C21" s="59"/>
      <c r="D21" s="95" t="s">
        <v>50</v>
      </c>
      <c r="E21" s="8" t="s">
        <v>36</v>
      </c>
      <c r="F21" s="6" t="s">
        <v>107</v>
      </c>
      <c r="G21" s="130"/>
      <c r="H21" s="9">
        <f t="shared" si="0"/>
        <v>12.058303165307166</v>
      </c>
      <c r="I21" s="9">
        <f t="shared" si="1"/>
        <v>6.171806369480075</v>
      </c>
      <c r="J21" s="9">
        <f t="shared" si="2"/>
        <v>0.285309573652985</v>
      </c>
      <c r="K21" s="9">
        <f t="shared" si="3"/>
        <v>0.4218063694800751</v>
      </c>
      <c r="L21" s="9">
        <f t="shared" si="4"/>
        <v>0.5583031653071653</v>
      </c>
      <c r="M21" s="9">
        <f t="shared" si="5"/>
        <v>0.6947999611342554</v>
      </c>
      <c r="N21" s="9">
        <f t="shared" si="6"/>
        <v>0.8312967569613454</v>
      </c>
      <c r="O21" s="9">
        <f t="shared" si="7"/>
        <v>0.9447999611342552</v>
      </c>
      <c r="P21" s="9">
        <f>sunrise(Location!$B$4,Location!$B$5,Location!$B$6,8,A21,Location!$B$7,IF(Location!$B$8="No",0,1))</f>
        <v>0.285309573652985</v>
      </c>
      <c r="Q21" s="9">
        <f>sunset(Location!$B$4,Location!$B$5,Location!$B$6,8,A21,Location!$B$7,IF(Location!$B$8="No",0,1))</f>
        <v>0.8312967569613454</v>
      </c>
      <c r="R21" s="9">
        <f t="shared" si="8"/>
        <v>0.5459871833083605</v>
      </c>
      <c r="S21" s="10">
        <f t="shared" si="9"/>
        <v>0.045498931942363374</v>
      </c>
      <c r="T21" s="9">
        <f t="shared" si="10"/>
        <v>23.45401281669164</v>
      </c>
      <c r="U21" s="10">
        <f t="shared" si="11"/>
        <v>0.037834401390969954</v>
      </c>
    </row>
    <row r="22" spans="1:21" ht="12.75">
      <c r="A22" s="5">
        <v>20</v>
      </c>
      <c r="B22" s="6" t="str">
        <f t="shared" si="13"/>
        <v>Friday</v>
      </c>
      <c r="C22" s="59"/>
      <c r="D22" s="7"/>
      <c r="E22" s="8" t="s">
        <v>17</v>
      </c>
      <c r="F22" s="6" t="s">
        <v>108</v>
      </c>
      <c r="G22" s="48" t="s">
        <v>142</v>
      </c>
      <c r="H22" s="9">
        <f t="shared" si="0"/>
        <v>12.058137825756022</v>
      </c>
      <c r="I22" s="9">
        <f t="shared" si="1"/>
        <v>6.171918541703477</v>
      </c>
      <c r="J22" s="9">
        <f t="shared" si="2"/>
        <v>0.2856992576509324</v>
      </c>
      <c r="K22" s="9">
        <f t="shared" si="3"/>
        <v>0.42191854170347665</v>
      </c>
      <c r="L22" s="9">
        <f t="shared" si="4"/>
        <v>0.5581378257560209</v>
      </c>
      <c r="M22" s="9">
        <f t="shared" si="5"/>
        <v>0.6943571098085651</v>
      </c>
      <c r="N22" s="9">
        <f t="shared" si="6"/>
        <v>0.8305763938611094</v>
      </c>
      <c r="O22" s="9">
        <f t="shared" si="7"/>
        <v>0.9443571098085651</v>
      </c>
      <c r="P22" s="9">
        <f>sunrise(Location!$B$4,Location!$B$5,Location!$B$6,8,A22,Location!$B$7,IF(Location!$B$8="No",0,1))</f>
        <v>0.2856992576509324</v>
      </c>
      <c r="Q22" s="9">
        <f>sunset(Location!$B$4,Location!$B$5,Location!$B$6,8,A22,Location!$B$7,IF(Location!$B$8="No",0,1))</f>
        <v>0.8305763938611094</v>
      </c>
      <c r="R22" s="9">
        <f t="shared" si="8"/>
        <v>0.544877136210177</v>
      </c>
      <c r="S22" s="10">
        <f t="shared" si="9"/>
        <v>0.045406428017514745</v>
      </c>
      <c r="T22" s="9">
        <f t="shared" si="10"/>
        <v>23.455122863789825</v>
      </c>
      <c r="U22" s="10">
        <f t="shared" si="11"/>
        <v>0.03792690531581858</v>
      </c>
    </row>
    <row r="23" spans="1:21" ht="12.75">
      <c r="A23" s="5">
        <v>21</v>
      </c>
      <c r="B23" s="6" t="str">
        <f t="shared" si="13"/>
        <v>Saturday</v>
      </c>
      <c r="C23" s="59"/>
      <c r="D23" s="95" t="s">
        <v>53</v>
      </c>
      <c r="E23" s="8" t="s">
        <v>21</v>
      </c>
      <c r="F23" s="6" t="s">
        <v>110</v>
      </c>
      <c r="G23" s="130"/>
      <c r="H23" s="9">
        <f t="shared" si="0"/>
        <v>12.057967122523374</v>
      </c>
      <c r="I23" s="9">
        <f t="shared" si="1"/>
        <v>6.172027161237856</v>
      </c>
      <c r="J23" s="9">
        <f t="shared" si="2"/>
        <v>0.2860871999523376</v>
      </c>
      <c r="K23" s="9">
        <f t="shared" si="3"/>
        <v>0.42202716123785544</v>
      </c>
      <c r="L23" s="9">
        <f t="shared" si="4"/>
        <v>0.5579671225233733</v>
      </c>
      <c r="M23" s="9">
        <f t="shared" si="5"/>
        <v>0.6939070838088911</v>
      </c>
      <c r="N23" s="9">
        <f t="shared" si="6"/>
        <v>0.8298470450944089</v>
      </c>
      <c r="O23" s="9">
        <f t="shared" si="7"/>
        <v>0.943907083808891</v>
      </c>
      <c r="P23" s="9">
        <f>sunrise(Location!$B$4,Location!$B$5,Location!$B$6,8,A23,Location!$B$7,IF(Location!$B$8="No",0,1))</f>
        <v>0.2860871999523376</v>
      </c>
      <c r="Q23" s="9">
        <f>sunset(Location!$B$4,Location!$B$5,Location!$B$6,8,A23,Location!$B$7,IF(Location!$B$8="No",0,1))</f>
        <v>0.8298470450944089</v>
      </c>
      <c r="R23" s="9">
        <f t="shared" si="8"/>
        <v>0.5437598451420713</v>
      </c>
      <c r="S23" s="10">
        <f t="shared" si="9"/>
        <v>0.04531332042850594</v>
      </c>
      <c r="T23" s="9">
        <f t="shared" si="10"/>
        <v>23.45624015485793</v>
      </c>
      <c r="U23" s="10">
        <f t="shared" si="11"/>
        <v>0.038020012904827385</v>
      </c>
    </row>
    <row r="24" spans="1:21" ht="12.75">
      <c r="A24" s="5">
        <v>22</v>
      </c>
      <c r="B24" s="6" t="str">
        <f aca="true" t="shared" si="14" ref="B24:B30">B3</f>
        <v>Sunday</v>
      </c>
      <c r="C24" s="59"/>
      <c r="D24" s="95" t="s">
        <v>55</v>
      </c>
      <c r="E24" s="8" t="s">
        <v>24</v>
      </c>
      <c r="F24" s="6" t="s">
        <v>111</v>
      </c>
      <c r="G24" s="134" t="s">
        <v>301</v>
      </c>
      <c r="H24" s="9">
        <f t="shared" si="0"/>
        <v>12.05779120288037</v>
      </c>
      <c r="I24" s="9">
        <f t="shared" si="1"/>
        <v>6.172132301883078</v>
      </c>
      <c r="J24" s="9">
        <f t="shared" si="2"/>
        <v>0.2864734008857859</v>
      </c>
      <c r="K24" s="9">
        <f t="shared" si="3"/>
        <v>0.4221323018830781</v>
      </c>
      <c r="L24" s="9">
        <f t="shared" si="4"/>
        <v>0.5577912028803703</v>
      </c>
      <c r="M24" s="9">
        <f t="shared" si="5"/>
        <v>0.6934501038776626</v>
      </c>
      <c r="N24" s="9">
        <f t="shared" si="6"/>
        <v>0.8291090048749548</v>
      </c>
      <c r="O24" s="9">
        <f t="shared" si="7"/>
        <v>0.9434501038776626</v>
      </c>
      <c r="P24" s="9">
        <f>sunrise(Location!$B$4,Location!$B$5,Location!$B$6,8,A24,Location!$B$7,IF(Location!$B$8="No",0,1))</f>
        <v>0.2864734008857859</v>
      </c>
      <c r="Q24" s="9">
        <f>sunset(Location!$B$4,Location!$B$5,Location!$B$6,8,A24,Location!$B$7,IF(Location!$B$8="No",0,1))</f>
        <v>0.8291090048749548</v>
      </c>
      <c r="R24" s="9">
        <f t="shared" si="8"/>
        <v>0.5426356039891689</v>
      </c>
      <c r="S24" s="10">
        <f t="shared" si="9"/>
        <v>0.04521963366576407</v>
      </c>
      <c r="T24" s="9">
        <f t="shared" si="10"/>
        <v>23.45736439601083</v>
      </c>
      <c r="U24" s="10">
        <f t="shared" si="11"/>
        <v>0.03811369966756926</v>
      </c>
    </row>
    <row r="25" spans="1:21" ht="12.75">
      <c r="A25" s="5">
        <v>23</v>
      </c>
      <c r="B25" s="6" t="str">
        <f t="shared" si="14"/>
        <v>Monday</v>
      </c>
      <c r="C25" s="59"/>
      <c r="D25" s="7"/>
      <c r="E25" s="8" t="s">
        <v>26</v>
      </c>
      <c r="F25" s="6" t="s">
        <v>112</v>
      </c>
      <c r="G25" s="130"/>
      <c r="H25" s="9">
        <f t="shared" si="0"/>
        <v>12.057610218947413</v>
      </c>
      <c r="I25" s="9">
        <f t="shared" si="1"/>
        <v>6.172234044061451</v>
      </c>
      <c r="J25" s="9">
        <f t="shared" si="2"/>
        <v>0.28685786917548806</v>
      </c>
      <c r="K25" s="9">
        <f t="shared" si="3"/>
        <v>0.42223404406145065</v>
      </c>
      <c r="L25" s="9">
        <f t="shared" si="4"/>
        <v>0.5576102189474132</v>
      </c>
      <c r="M25" s="9">
        <f t="shared" si="5"/>
        <v>0.6929863938333758</v>
      </c>
      <c r="N25" s="9">
        <f t="shared" si="6"/>
        <v>0.8283625687193384</v>
      </c>
      <c r="O25" s="9">
        <f t="shared" si="7"/>
        <v>0.9429863938333758</v>
      </c>
      <c r="P25" s="9">
        <f>sunrise(Location!$B$4,Location!$B$5,Location!$B$6,8,A25,Location!$B$7,IF(Location!$B$8="No",0,1))</f>
        <v>0.28685786917548806</v>
      </c>
      <c r="Q25" s="9">
        <f>sunset(Location!$B$4,Location!$B$5,Location!$B$6,8,A25,Location!$B$7,IF(Location!$B$8="No",0,1))</f>
        <v>0.8283625687193384</v>
      </c>
      <c r="R25" s="9">
        <f t="shared" si="8"/>
        <v>0.5415046995438504</v>
      </c>
      <c r="S25" s="10">
        <f t="shared" si="9"/>
        <v>0.0451253916286542</v>
      </c>
      <c r="T25" s="9">
        <f t="shared" si="10"/>
        <v>23.45849530045615</v>
      </c>
      <c r="U25" s="10">
        <f t="shared" si="11"/>
        <v>0.03820794170467913</v>
      </c>
    </row>
    <row r="26" spans="1:21" ht="12.75">
      <c r="A26" s="5">
        <v>24</v>
      </c>
      <c r="B26" s="6" t="str">
        <f t="shared" si="14"/>
        <v>Tuesday</v>
      </c>
      <c r="C26" s="59"/>
      <c r="D26" s="95" t="s">
        <v>59</v>
      </c>
      <c r="E26" s="8" t="s">
        <v>29</v>
      </c>
      <c r="F26" s="6" t="s">
        <v>113</v>
      </c>
      <c r="G26" s="47" t="s">
        <v>224</v>
      </c>
      <c r="H26" s="9">
        <f t="shared" si="0"/>
        <v>12.057424327496873</v>
      </c>
      <c r="I26" s="9">
        <f t="shared" si="1"/>
        <v>6.172332474596268</v>
      </c>
      <c r="J26" s="9">
        <f t="shared" si="2"/>
        <v>0.28724062169566267</v>
      </c>
      <c r="K26" s="9">
        <f t="shared" si="3"/>
        <v>0.422332474596268</v>
      </c>
      <c r="L26" s="9">
        <f t="shared" si="4"/>
        <v>0.5574243274968733</v>
      </c>
      <c r="M26" s="9">
        <f t="shared" si="5"/>
        <v>0.6925161803974786</v>
      </c>
      <c r="N26" s="9">
        <f t="shared" si="6"/>
        <v>0.827608033298084</v>
      </c>
      <c r="O26" s="9">
        <f t="shared" si="7"/>
        <v>0.9425161803974786</v>
      </c>
      <c r="P26" s="9">
        <f>sunrise(Location!$B$4,Location!$B$5,Location!$B$6,8,A26,Location!$B$7,IF(Location!$B$8="No",0,1))</f>
        <v>0.28724062169566267</v>
      </c>
      <c r="Q26" s="9">
        <f>sunset(Location!$B$4,Location!$B$5,Location!$B$6,8,A26,Location!$B$7,IF(Location!$B$8="No",0,1))</f>
        <v>0.827608033298084</v>
      </c>
      <c r="R26" s="9">
        <f t="shared" si="8"/>
        <v>0.5403674116024213</v>
      </c>
      <c r="S26" s="10">
        <f t="shared" si="9"/>
        <v>0.04503061763353511</v>
      </c>
      <c r="T26" s="9">
        <f t="shared" si="10"/>
        <v>23.45963258839758</v>
      </c>
      <c r="U26" s="10">
        <f t="shared" si="11"/>
        <v>0.03830271569979822</v>
      </c>
    </row>
    <row r="27" spans="1:21" ht="12.75">
      <c r="A27" s="5">
        <v>25</v>
      </c>
      <c r="B27" s="6" t="str">
        <f t="shared" si="14"/>
        <v>Wednesday</v>
      </c>
      <c r="C27" s="59"/>
      <c r="D27" s="95" t="s">
        <v>61</v>
      </c>
      <c r="E27" s="8" t="s">
        <v>32</v>
      </c>
      <c r="F27" s="6" t="s">
        <v>114</v>
      </c>
      <c r="G27" s="130"/>
      <c r="H27" s="9">
        <f t="shared" si="0"/>
        <v>12.057233689758997</v>
      </c>
      <c r="I27" s="9">
        <f t="shared" si="1"/>
        <v>6.1724276864904315</v>
      </c>
      <c r="J27" s="9">
        <f t="shared" si="2"/>
        <v>0.2876216832218666</v>
      </c>
      <c r="K27" s="9">
        <f t="shared" si="3"/>
        <v>0.42242768649043116</v>
      </c>
      <c r="L27" s="9">
        <f t="shared" si="4"/>
        <v>0.5572336897589958</v>
      </c>
      <c r="M27" s="9">
        <f t="shared" si="5"/>
        <v>0.6920396930275603</v>
      </c>
      <c r="N27" s="9">
        <f t="shared" si="6"/>
        <v>0.8268456962961248</v>
      </c>
      <c r="O27" s="9">
        <f t="shared" si="7"/>
        <v>0.9420396930275602</v>
      </c>
      <c r="P27" s="9">
        <f>sunrise(Location!$B$4,Location!$B$5,Location!$B$6,8,A27,Location!$B$7,IF(Location!$B$8="No",0,1))</f>
        <v>0.2876216832218666</v>
      </c>
      <c r="Q27" s="9">
        <f>sunset(Location!$B$4,Location!$B$5,Location!$B$6,8,A27,Location!$B$7,IF(Location!$B$8="No",0,1))</f>
        <v>0.8268456962961248</v>
      </c>
      <c r="R27" s="9">
        <f t="shared" si="8"/>
        <v>0.5392240130742583</v>
      </c>
      <c r="S27" s="10">
        <f t="shared" si="9"/>
        <v>0.044935334422854856</v>
      </c>
      <c r="T27" s="9">
        <f t="shared" si="10"/>
        <v>23.460775986925743</v>
      </c>
      <c r="U27" s="10">
        <f t="shared" si="11"/>
        <v>0.03839799891047847</v>
      </c>
    </row>
    <row r="28" spans="1:21" ht="12.75">
      <c r="A28" s="5">
        <v>26</v>
      </c>
      <c r="B28" s="6" t="str">
        <f t="shared" si="14"/>
        <v>Thursday</v>
      </c>
      <c r="C28" s="59"/>
      <c r="D28" s="7"/>
      <c r="E28" s="8" t="s">
        <v>36</v>
      </c>
      <c r="F28" s="6" t="s">
        <v>116</v>
      </c>
      <c r="G28" s="130"/>
      <c r="H28" s="9">
        <f t="shared" si="0"/>
        <v>12.057038471235634</v>
      </c>
      <c r="I28" s="9">
        <f t="shared" si="1"/>
        <v>6.17251977870826</v>
      </c>
      <c r="J28" s="9">
        <f t="shared" si="2"/>
        <v>0.2880010861808853</v>
      </c>
      <c r="K28" s="9">
        <f t="shared" si="3"/>
        <v>0.4225197787082593</v>
      </c>
      <c r="L28" s="9">
        <f t="shared" si="4"/>
        <v>0.5570384712356333</v>
      </c>
      <c r="M28" s="9">
        <f t="shared" si="5"/>
        <v>0.6915571637630074</v>
      </c>
      <c r="N28" s="9">
        <f t="shared" si="6"/>
        <v>0.8260758562903815</v>
      </c>
      <c r="O28" s="9">
        <f t="shared" si="7"/>
        <v>0.9415571637630075</v>
      </c>
      <c r="P28" s="9">
        <f>sunrise(Location!$B$4,Location!$B$5,Location!$B$6,8,A28,Location!$B$7,IF(Location!$B$8="No",0,1))</f>
        <v>0.2880010861808853</v>
      </c>
      <c r="Q28" s="9">
        <f>sunset(Location!$B$4,Location!$B$5,Location!$B$6,8,A28,Location!$B$7,IF(Location!$B$8="No",0,1))</f>
        <v>0.8260758562903815</v>
      </c>
      <c r="R28" s="9">
        <f t="shared" si="8"/>
        <v>0.5380747701094961</v>
      </c>
      <c r="S28" s="10">
        <f t="shared" si="9"/>
        <v>0.044839564175791345</v>
      </c>
      <c r="T28" s="9">
        <f t="shared" si="10"/>
        <v>23.461925229890504</v>
      </c>
      <c r="U28" s="10">
        <f t="shared" si="11"/>
        <v>0.038493769157541984</v>
      </c>
    </row>
    <row r="29" spans="1:21" ht="12.75">
      <c r="A29" s="5">
        <v>27</v>
      </c>
      <c r="B29" s="6" t="str">
        <f t="shared" si="14"/>
        <v>Friday</v>
      </c>
      <c r="C29" s="59"/>
      <c r="D29" s="7"/>
      <c r="E29" s="8" t="s">
        <v>17</v>
      </c>
      <c r="F29" s="6" t="s">
        <v>117</v>
      </c>
      <c r="G29" s="130"/>
      <c r="H29" s="9">
        <f t="shared" si="0"/>
        <v>12.056838841518145</v>
      </c>
      <c r="I29" s="9">
        <f t="shared" si="1"/>
        <v>6.172608855958892</v>
      </c>
      <c r="J29" s="9">
        <f t="shared" si="2"/>
        <v>0.28837887039963916</v>
      </c>
      <c r="K29" s="9">
        <f t="shared" si="3"/>
        <v>0.4226088559588918</v>
      </c>
      <c r="L29" s="9">
        <f t="shared" si="4"/>
        <v>0.5568388415181444</v>
      </c>
      <c r="M29" s="9">
        <f t="shared" si="5"/>
        <v>0.691068827077397</v>
      </c>
      <c r="N29" s="9">
        <f t="shared" si="6"/>
        <v>0.8252988126366497</v>
      </c>
      <c r="O29" s="9">
        <f t="shared" si="7"/>
        <v>0.941068827077397</v>
      </c>
      <c r="P29" s="9">
        <f>sunrise(Location!$B$4,Location!$B$5,Location!$B$6,8,A29,Location!$B$7,IF(Location!$B$8="No",0,1))</f>
        <v>0.28837887039963916</v>
      </c>
      <c r="Q29" s="9">
        <f>sunset(Location!$B$4,Location!$B$5,Location!$B$6,8,A29,Location!$B$7,IF(Location!$B$8="No",0,1))</f>
        <v>0.8252988126366497</v>
      </c>
      <c r="R29" s="9">
        <f t="shared" si="8"/>
        <v>0.5369199422370106</v>
      </c>
      <c r="S29" s="10">
        <f t="shared" si="9"/>
        <v>0.04474332851975088</v>
      </c>
      <c r="T29" s="9">
        <f t="shared" si="10"/>
        <v>23.46308005776299</v>
      </c>
      <c r="U29" s="10">
        <f t="shared" si="11"/>
        <v>0.03859000481358245</v>
      </c>
    </row>
    <row r="30" spans="1:21" ht="12.75">
      <c r="A30" s="5">
        <v>28</v>
      </c>
      <c r="B30" s="6" t="str">
        <f t="shared" si="14"/>
        <v>Saturday</v>
      </c>
      <c r="C30" s="59"/>
      <c r="D30" s="95" t="s">
        <v>64</v>
      </c>
      <c r="E30" s="8" t="s">
        <v>21</v>
      </c>
      <c r="F30" s="6" t="s">
        <v>118</v>
      </c>
      <c r="G30" s="45" t="s">
        <v>217</v>
      </c>
      <c r="H30" s="9">
        <f t="shared" si="0"/>
        <v>12.05663497411237</v>
      </c>
      <c r="I30" s="9">
        <f t="shared" si="1"/>
        <v>6.172695028482153</v>
      </c>
      <c r="J30" s="9">
        <f t="shared" si="2"/>
        <v>0.2887550828519348</v>
      </c>
      <c r="K30" s="9">
        <f t="shared" si="3"/>
        <v>0.4226950284821517</v>
      </c>
      <c r="L30" s="9">
        <f t="shared" si="4"/>
        <v>0.5566349741123686</v>
      </c>
      <c r="M30" s="9">
        <f t="shared" si="5"/>
        <v>0.6905749197425856</v>
      </c>
      <c r="N30" s="9">
        <f t="shared" si="6"/>
        <v>0.8245148653728025</v>
      </c>
      <c r="O30" s="9">
        <f t="shared" si="7"/>
        <v>0.9405749197425856</v>
      </c>
      <c r="P30" s="9">
        <f>sunrise(Location!$B$4,Location!$B$5,Location!$B$6,8,A30,Location!$B$7,IF(Location!$B$8="No",0,1))</f>
        <v>0.2887550828519348</v>
      </c>
      <c r="Q30" s="9">
        <f>sunset(Location!$B$4,Location!$B$5,Location!$B$6,8,A30,Location!$B$7,IF(Location!$B$8="No",0,1))</f>
        <v>0.8245148653728025</v>
      </c>
      <c r="R30" s="9">
        <f t="shared" si="8"/>
        <v>0.5357597825208678</v>
      </c>
      <c r="S30" s="10">
        <f t="shared" si="9"/>
        <v>0.044646648543405644</v>
      </c>
      <c r="T30" s="9">
        <f t="shared" si="10"/>
        <v>23.464240217479134</v>
      </c>
      <c r="U30" s="10">
        <f t="shared" si="11"/>
        <v>0.038686684789927685</v>
      </c>
    </row>
    <row r="31" spans="1:21" ht="12.75">
      <c r="A31" s="5">
        <v>29</v>
      </c>
      <c r="B31" s="6" t="str">
        <f>B3</f>
        <v>Sunday</v>
      </c>
      <c r="C31" s="59"/>
      <c r="D31" s="95" t="s">
        <v>67</v>
      </c>
      <c r="E31" s="8" t="s">
        <v>24</v>
      </c>
      <c r="F31" s="6" t="s">
        <v>119</v>
      </c>
      <c r="G31" s="134" t="s">
        <v>302</v>
      </c>
      <c r="H31" s="9">
        <f t="shared" si="0"/>
        <v>12.056427046268723</v>
      </c>
      <c r="I31" s="9">
        <f t="shared" si="1"/>
        <v>6.172778411838344</v>
      </c>
      <c r="J31" s="9">
        <f t="shared" si="2"/>
        <v>0.28912977740796464</v>
      </c>
      <c r="K31" s="9">
        <f t="shared" si="3"/>
        <v>0.4227784118383434</v>
      </c>
      <c r="L31" s="9">
        <f t="shared" si="4"/>
        <v>0.5564270462687222</v>
      </c>
      <c r="M31" s="9">
        <f t="shared" si="5"/>
        <v>0.6900756806991009</v>
      </c>
      <c r="N31" s="9">
        <f t="shared" si="6"/>
        <v>0.8237243151294796</v>
      </c>
      <c r="O31" s="9">
        <f t="shared" si="7"/>
        <v>0.9400756806991009</v>
      </c>
      <c r="P31" s="9">
        <f>sunrise(Location!$B$4,Location!$B$5,Location!$B$6,8,A31,Location!$B$7,IF(Location!$B$8="No",0,1))</f>
        <v>0.28912977740796464</v>
      </c>
      <c r="Q31" s="9">
        <f>sunset(Location!$B$4,Location!$B$5,Location!$B$6,8,A31,Location!$B$7,IF(Location!$B$8="No",0,1))</f>
        <v>0.8237243151294796</v>
      </c>
      <c r="R31" s="9">
        <f t="shared" si="8"/>
        <v>0.534594537721515</v>
      </c>
      <c r="S31" s="10">
        <f t="shared" si="9"/>
        <v>0.04454954481012625</v>
      </c>
      <c r="T31" s="9">
        <f t="shared" si="10"/>
        <v>23.465405462278486</v>
      </c>
      <c r="U31" s="10">
        <f t="shared" si="11"/>
        <v>0.03878378852320708</v>
      </c>
    </row>
    <row r="32" spans="1:21" ht="12.75">
      <c r="A32" s="5">
        <v>30</v>
      </c>
      <c r="B32" s="6" t="str">
        <f>B4</f>
        <v>Monday</v>
      </c>
      <c r="C32" s="59"/>
      <c r="D32" s="95" t="s">
        <v>69</v>
      </c>
      <c r="E32" s="8" t="s">
        <v>26</v>
      </c>
      <c r="F32" s="6" t="s">
        <v>120</v>
      </c>
      <c r="G32" s="130"/>
      <c r="H32" s="9">
        <f t="shared" si="0"/>
        <v>12.056215238821196</v>
      </c>
      <c r="I32" s="9">
        <f t="shared" si="1"/>
        <v>6.172859126702316</v>
      </c>
      <c r="J32" s="9">
        <f t="shared" si="2"/>
        <v>0.289503014583436</v>
      </c>
      <c r="K32" s="9">
        <f t="shared" si="3"/>
        <v>0.4228591267023164</v>
      </c>
      <c r="L32" s="9">
        <f t="shared" si="4"/>
        <v>0.5562152388211967</v>
      </c>
      <c r="M32" s="9">
        <f t="shared" si="5"/>
        <v>0.689571350940077</v>
      </c>
      <c r="N32" s="9">
        <f t="shared" si="6"/>
        <v>0.8229274630589574</v>
      </c>
      <c r="O32" s="9">
        <f t="shared" si="7"/>
        <v>0.939571350940077</v>
      </c>
      <c r="P32" s="9">
        <f>sunrise(Location!$B$4,Location!$B$5,Location!$B$6,8,A32,Location!$B$7,IF(Location!$B$8="No",0,1))</f>
        <v>0.289503014583436</v>
      </c>
      <c r="Q32" s="9">
        <f>sunset(Location!$B$4,Location!$B$5,Location!$B$6,8,A32,Location!$B$7,IF(Location!$B$8="No",0,1))</f>
        <v>0.8229274630589574</v>
      </c>
      <c r="R32" s="9">
        <f t="shared" si="8"/>
        <v>0.5334244484755213</v>
      </c>
      <c r="S32" s="10">
        <f t="shared" si="9"/>
        <v>0.04445203737296011</v>
      </c>
      <c r="T32" s="9">
        <f t="shared" si="10"/>
        <v>23.46657555152448</v>
      </c>
      <c r="U32" s="10">
        <f t="shared" si="11"/>
        <v>0.03888129596037322</v>
      </c>
    </row>
    <row r="33" spans="1:21" ht="12.75">
      <c r="A33" s="5">
        <v>31</v>
      </c>
      <c r="B33" s="6" t="str">
        <f>B5</f>
        <v>Tuesday</v>
      </c>
      <c r="C33" s="59"/>
      <c r="D33" s="7"/>
      <c r="E33" s="8" t="s">
        <v>29</v>
      </c>
      <c r="F33" s="6" t="s">
        <v>78</v>
      </c>
      <c r="G33" s="48" t="s">
        <v>143</v>
      </c>
      <c r="H33" s="9">
        <f t="shared" si="0"/>
        <v>12.05599973603057</v>
      </c>
      <c r="I33" s="9">
        <f t="shared" si="1"/>
        <v>6.172937298660159</v>
      </c>
      <c r="J33" s="9">
        <f t="shared" si="2"/>
        <v>0.28987486128974904</v>
      </c>
      <c r="K33" s="9">
        <f t="shared" si="3"/>
        <v>0.42293729866015917</v>
      </c>
      <c r="L33" s="9">
        <f t="shared" si="4"/>
        <v>0.5559997360305693</v>
      </c>
      <c r="M33" s="9">
        <f t="shared" si="5"/>
        <v>0.6890621734009794</v>
      </c>
      <c r="N33" s="9">
        <f t="shared" si="6"/>
        <v>0.8221246107713894</v>
      </c>
      <c r="O33" s="9">
        <f t="shared" si="7"/>
        <v>0.9390621734009793</v>
      </c>
      <c r="P33" s="9">
        <f>sunrise(Location!$B$4,Location!$B$5,Location!$B$6,8,A33,Location!$B$7,IF(Location!$B$8="No",0,1))</f>
        <v>0.28987486128974904</v>
      </c>
      <c r="Q33" s="9">
        <f>sunset(Location!$B$4,Location!$B$5,Location!$B$6,8,A33,Location!$B$7,IF(Location!$B$8="No",0,1))</f>
        <v>0.8221246107713894</v>
      </c>
      <c r="R33" s="9">
        <f t="shared" si="8"/>
        <v>0.5322497494816404</v>
      </c>
      <c r="S33" s="10">
        <f t="shared" si="9"/>
        <v>0.0443541457901367</v>
      </c>
      <c r="T33" s="9">
        <f t="shared" si="10"/>
        <v>23.46775025051836</v>
      </c>
      <c r="U33" s="10">
        <f t="shared" si="11"/>
        <v>0.03897918754319663</v>
      </c>
    </row>
    <row r="34" ht="12.75">
      <c r="B34" s="6"/>
    </row>
    <row r="35" ht="12.75">
      <c r="A35" s="6"/>
    </row>
    <row r="36" ht="12.75">
      <c r="E36" s="11"/>
    </row>
    <row r="37" spans="3:5" ht="12.75">
      <c r="C37" s="58" t="str">
        <f>IF(Location!B9="No",Location!C13,Location!C14)</f>
        <v>C</v>
      </c>
      <c r="D37" s="53"/>
      <c r="E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U37"/>
  <sheetViews>
    <sheetView zoomScale="95" zoomScaleNormal="95"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G21" sqref="G21"/>
    </sheetView>
  </sheetViews>
  <sheetFormatPr defaultColWidth="9.140625" defaultRowHeight="12.75"/>
  <cols>
    <col min="1" max="1" width="5.00390625" style="4" customWidth="1"/>
    <col min="2" max="2" width="11.8515625" style="4" customWidth="1"/>
    <col min="3" max="3" width="3.7109375" style="4" customWidth="1"/>
    <col min="4" max="4" width="4.71093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21" t="s">
        <v>173</v>
      </c>
      <c r="B1" s="122"/>
      <c r="C1" s="122"/>
      <c r="D1" s="122"/>
      <c r="E1" s="123"/>
      <c r="F1" s="123" t="str">
        <f>ROMAN(Location!$B$6)</f>
        <v>MMX</v>
      </c>
      <c r="G1" s="122"/>
      <c r="H1" s="124"/>
      <c r="I1" s="124"/>
      <c r="J1" s="124"/>
      <c r="K1" s="124"/>
      <c r="L1" s="124"/>
      <c r="M1" s="124"/>
      <c r="N1" s="124"/>
      <c r="O1" s="124"/>
      <c r="P1" s="125"/>
      <c r="Q1" s="122"/>
      <c r="R1" s="124"/>
      <c r="S1" s="124"/>
      <c r="T1" s="124"/>
      <c r="U1" s="126"/>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131</v>
      </c>
      <c r="T2" s="27" t="s">
        <v>15</v>
      </c>
      <c r="U2" s="27" t="s">
        <v>132</v>
      </c>
    </row>
    <row r="3" spans="1:21" ht="12.75">
      <c r="A3" s="5">
        <v>1</v>
      </c>
      <c r="B3" s="6" t="str">
        <f>Augustus!B27</f>
        <v>Wednesday</v>
      </c>
      <c r="C3" s="59"/>
      <c r="D3" s="95" t="s">
        <v>72</v>
      </c>
      <c r="E3" s="8" t="s">
        <v>32</v>
      </c>
      <c r="F3" s="6" t="s">
        <v>18</v>
      </c>
      <c r="G3" s="130"/>
      <c r="H3" s="9">
        <f aca="true" t="shared" si="0" ref="H3:H32">(T3/2)+Q3-"12:00:00"</f>
        <v>12.055780725436083</v>
      </c>
      <c r="I3" s="9">
        <f aca="true" t="shared" si="1" ref="I3:I32">H3+((J3-H3)/2)</f>
        <v>6.173013058011221</v>
      </c>
      <c r="J3" s="9">
        <f aca="true" t="shared" si="2" ref="J3:J32">P3</f>
        <v>0.2902453905863581</v>
      </c>
      <c r="K3" s="9">
        <f aca="true" t="shared" si="3" ref="K3:K32">J3+((L3-J3)/2)</f>
        <v>0.42301305801122074</v>
      </c>
      <c r="L3" s="9">
        <f aca="true" t="shared" si="4" ref="L3:L32">(R3/2)+J3</f>
        <v>0.5557807254360834</v>
      </c>
      <c r="M3" s="9">
        <f aca="true" t="shared" si="5" ref="M3:M32">((N3-L3)/2)+L3</f>
        <v>0.6885483928609459</v>
      </c>
      <c r="N3" s="9">
        <f aca="true" t="shared" si="6" ref="N3:N32">Q3</f>
        <v>0.8213160602858086</v>
      </c>
      <c r="O3" s="9">
        <f aca="true" t="shared" si="7" ref="O3:O32">3*U3+N3</f>
        <v>0.9385483928609459</v>
      </c>
      <c r="P3" s="9">
        <f>sunrise(Location!$B$4,Location!$B$5,Location!$B$6,9,A3,Location!$B$7,IF(Location!$B$8="No",0,1))</f>
        <v>0.2902453905863581</v>
      </c>
      <c r="Q3" s="9">
        <f>sunset(Location!$B$4,Location!$B$5,Location!$B$6,9,A3,Location!$B$7,IF(Location!$B$8="No",0,1))</f>
        <v>0.8213160602858086</v>
      </c>
      <c r="R3" s="9">
        <f aca="true" t="shared" si="8" ref="R3:R32">Q3-P3</f>
        <v>0.5310706696994505</v>
      </c>
      <c r="S3" s="10">
        <f aca="true" t="shared" si="9" ref="S3:S32">R3/12</f>
        <v>0.044255889141620874</v>
      </c>
      <c r="T3" s="9">
        <f aca="true" t="shared" si="10" ref="T3:T32">(24-(Q3-P3))</f>
        <v>23.46892933030055</v>
      </c>
      <c r="U3" s="10">
        <f aca="true" t="shared" si="11" ref="U3:U32">"1:00:00"-S3+"1:00:00"</f>
        <v>0.039077444191712454</v>
      </c>
    </row>
    <row r="4" spans="1:21" ht="12.75">
      <c r="A4" s="5">
        <v>2</v>
      </c>
      <c r="B4" s="6" t="str">
        <f>Augustus!B28</f>
        <v>Thursday</v>
      </c>
      <c r="C4" s="59"/>
      <c r="D4" s="95" t="s">
        <v>75</v>
      </c>
      <c r="E4" s="8" t="s">
        <v>36</v>
      </c>
      <c r="F4" s="6" t="s">
        <v>93</v>
      </c>
      <c r="G4" s="130"/>
      <c r="H4" s="9">
        <f t="shared" si="0"/>
        <v>12.055558397713103</v>
      </c>
      <c r="I4" s="9">
        <f t="shared" si="1"/>
        <v>6.1730865395744665</v>
      </c>
      <c r="J4" s="9">
        <f t="shared" si="2"/>
        <v>0.29061468143583047</v>
      </c>
      <c r="K4" s="9">
        <f t="shared" si="3"/>
        <v>0.42308653957446624</v>
      </c>
      <c r="L4" s="9">
        <f t="shared" si="4"/>
        <v>0.555558397713102</v>
      </c>
      <c r="M4" s="9">
        <f t="shared" si="5"/>
        <v>0.6880302558517378</v>
      </c>
      <c r="N4" s="9">
        <f t="shared" si="6"/>
        <v>0.8205021139903736</v>
      </c>
      <c r="O4" s="9">
        <f t="shared" si="7"/>
        <v>0.9380302558517378</v>
      </c>
      <c r="P4" s="9">
        <f>sunrise(Location!$B$4,Location!$B$5,Location!$B$6,9,A4,Location!$B$7,IF(Location!$B$8="No",0,1))</f>
        <v>0.29061468143583047</v>
      </c>
      <c r="Q4" s="9">
        <f>sunset(Location!$B$4,Location!$B$5,Location!$B$6,9,A4,Location!$B$7,IF(Location!$B$8="No",0,1))</f>
        <v>0.8205021139903736</v>
      </c>
      <c r="R4" s="9">
        <f t="shared" si="8"/>
        <v>0.5298874325545432</v>
      </c>
      <c r="S4" s="10">
        <f t="shared" si="9"/>
        <v>0.044157286046211934</v>
      </c>
      <c r="T4" s="9">
        <f t="shared" si="10"/>
        <v>23.470112567445458</v>
      </c>
      <c r="U4" s="10">
        <f t="shared" si="11"/>
        <v>0.039176047287121395</v>
      </c>
    </row>
    <row r="5" spans="1:21" ht="12.75">
      <c r="A5" s="5">
        <v>3</v>
      </c>
      <c r="B5" s="6" t="str">
        <f>Augustus!B29</f>
        <v>Friday</v>
      </c>
      <c r="C5" s="59"/>
      <c r="D5" s="7"/>
      <c r="E5" s="8" t="s">
        <v>17</v>
      </c>
      <c r="F5" s="6" t="s">
        <v>94</v>
      </c>
      <c r="G5" s="130"/>
      <c r="H5" s="9">
        <f t="shared" si="0"/>
        <v>12.055332946539071</v>
      </c>
      <c r="I5" s="9">
        <f t="shared" si="1"/>
        <v>6.173157882500042</v>
      </c>
      <c r="J5" s="9">
        <f t="shared" si="2"/>
        <v>0.2909828184610117</v>
      </c>
      <c r="K5" s="9">
        <f t="shared" si="3"/>
        <v>0.4231578825000417</v>
      </c>
      <c r="L5" s="9">
        <f t="shared" si="4"/>
        <v>0.5553329465390717</v>
      </c>
      <c r="M5" s="9">
        <f t="shared" si="5"/>
        <v>0.6875080105781017</v>
      </c>
      <c r="N5" s="9">
        <f t="shared" si="6"/>
        <v>0.8196830746171316</v>
      </c>
      <c r="O5" s="9">
        <f t="shared" si="7"/>
        <v>0.9375080105781016</v>
      </c>
      <c r="P5" s="9">
        <f>sunrise(Location!$B$4,Location!$B$5,Location!$B$6,9,A5,Location!$B$7,IF(Location!$B$8="No",0,1))</f>
        <v>0.2909828184610117</v>
      </c>
      <c r="Q5" s="9">
        <f>sunset(Location!$B$4,Location!$B$5,Location!$B$6,9,A5,Location!$B$7,IF(Location!$B$8="No",0,1))</f>
        <v>0.8196830746171316</v>
      </c>
      <c r="R5" s="9">
        <f t="shared" si="8"/>
        <v>0.5287002561561199</v>
      </c>
      <c r="S5" s="10">
        <f t="shared" si="9"/>
        <v>0.04405835467967666</v>
      </c>
      <c r="T5" s="9">
        <f t="shared" si="10"/>
        <v>23.47129974384388</v>
      </c>
      <c r="U5" s="10">
        <f t="shared" si="11"/>
        <v>0.039274978653656666</v>
      </c>
    </row>
    <row r="6" spans="1:21" ht="12.75">
      <c r="A6" s="5">
        <v>4</v>
      </c>
      <c r="B6" s="6" t="str">
        <f>Augustus!B30</f>
        <v>Saturday</v>
      </c>
      <c r="C6" s="59"/>
      <c r="D6" s="95" t="s">
        <v>20</v>
      </c>
      <c r="E6" s="8" t="s">
        <v>21</v>
      </c>
      <c r="F6" s="6" t="s">
        <v>27</v>
      </c>
      <c r="G6" s="130"/>
      <c r="H6" s="9">
        <f t="shared" si="0"/>
        <v>12.055104568463268</v>
      </c>
      <c r="I6" s="9">
        <f t="shared" si="1"/>
        <v>6.173227230083633</v>
      </c>
      <c r="J6" s="9">
        <f t="shared" si="2"/>
        <v>0.2913498917039981</v>
      </c>
      <c r="K6" s="9">
        <f t="shared" si="3"/>
        <v>0.4232272300836323</v>
      </c>
      <c r="L6" s="9">
        <f t="shared" si="4"/>
        <v>0.5551045684632665</v>
      </c>
      <c r="M6" s="9">
        <f t="shared" si="5"/>
        <v>0.6869819068429006</v>
      </c>
      <c r="N6" s="9">
        <f t="shared" si="6"/>
        <v>0.8188592452225347</v>
      </c>
      <c r="O6" s="9">
        <f t="shared" si="7"/>
        <v>0.9369819068429006</v>
      </c>
      <c r="P6" s="9">
        <f>sunrise(Location!$B$4,Location!$B$5,Location!$B$6,9,A6,Location!$B$7,IF(Location!$B$8="No",0,1))</f>
        <v>0.2913498917039981</v>
      </c>
      <c r="Q6" s="9">
        <f>sunset(Location!$B$4,Location!$B$5,Location!$B$6,9,A6,Location!$B$7,IF(Location!$B$8="No",0,1))</f>
        <v>0.8188592452225347</v>
      </c>
      <c r="R6" s="9">
        <f t="shared" si="8"/>
        <v>0.5275093535185367</v>
      </c>
      <c r="S6" s="10">
        <f t="shared" si="9"/>
        <v>0.04395911279321139</v>
      </c>
      <c r="T6" s="9">
        <f t="shared" si="10"/>
        <v>23.472490646481464</v>
      </c>
      <c r="U6" s="10">
        <f t="shared" si="11"/>
        <v>0.03937422054012194</v>
      </c>
    </row>
    <row r="7" spans="1:21" ht="12.75">
      <c r="A7" s="5">
        <v>5</v>
      </c>
      <c r="B7" s="6" t="str">
        <f>Augustus!B31</f>
        <v>Sunday</v>
      </c>
      <c r="C7" s="59"/>
      <c r="D7" s="7"/>
      <c r="E7" s="8" t="s">
        <v>24</v>
      </c>
      <c r="F7" s="6" t="s">
        <v>30</v>
      </c>
      <c r="G7" s="134" t="s">
        <v>304</v>
      </c>
      <c r="H7" s="9">
        <f t="shared" si="0"/>
        <v>12.054873462785606</v>
      </c>
      <c r="I7" s="9">
        <f t="shared" si="1"/>
        <v>6.173294729587431</v>
      </c>
      <c r="J7" s="9">
        <f t="shared" si="2"/>
        <v>0.29171599638925483</v>
      </c>
      <c r="K7" s="9">
        <f t="shared" si="3"/>
        <v>0.4232947295874303</v>
      </c>
      <c r="L7" s="9">
        <f t="shared" si="4"/>
        <v>0.5548734627856058</v>
      </c>
      <c r="M7" s="9">
        <f t="shared" si="5"/>
        <v>0.6864521959837813</v>
      </c>
      <c r="N7" s="9">
        <f t="shared" si="6"/>
        <v>0.8180309291819567</v>
      </c>
      <c r="O7" s="9">
        <f t="shared" si="7"/>
        <v>0.9364521959837813</v>
      </c>
      <c r="P7" s="9">
        <f>sunrise(Location!$B$4,Location!$B$5,Location!$B$6,9,A7,Location!$B$7,IF(Location!$B$8="No",0,1))</f>
        <v>0.29171599638925483</v>
      </c>
      <c r="Q7" s="9">
        <f>sunset(Location!$B$4,Location!$B$5,Location!$B$6,9,A7,Location!$B$7,IF(Location!$B$8="No",0,1))</f>
        <v>0.8180309291819567</v>
      </c>
      <c r="R7" s="9">
        <f t="shared" si="8"/>
        <v>0.5263149327927019</v>
      </c>
      <c r="S7" s="10">
        <f t="shared" si="9"/>
        <v>0.04385957773272516</v>
      </c>
      <c r="T7" s="9">
        <f t="shared" si="10"/>
        <v>23.4736850672073</v>
      </c>
      <c r="U7" s="10">
        <f t="shared" si="11"/>
        <v>0.03947375560060817</v>
      </c>
    </row>
    <row r="8" spans="1:21" ht="12.75">
      <c r="A8" s="5">
        <v>6</v>
      </c>
      <c r="B8" s="6" t="str">
        <f>Augustus!B32</f>
        <v>Monday</v>
      </c>
      <c r="C8" s="59"/>
      <c r="D8" s="95" t="s">
        <v>23</v>
      </c>
      <c r="E8" s="8" t="s">
        <v>26</v>
      </c>
      <c r="F8" s="6" t="s">
        <v>95</v>
      </c>
      <c r="G8" s="130"/>
      <c r="H8" s="9">
        <f t="shared" si="0"/>
        <v>12.054639831441868</v>
      </c>
      <c r="I8" s="9">
        <f t="shared" si="1"/>
        <v>6.1733605320656215</v>
      </c>
      <c r="J8" s="9">
        <f t="shared" si="2"/>
        <v>0.2920812326893741</v>
      </c>
      <c r="K8" s="9">
        <f t="shared" si="3"/>
        <v>0.4233605320656212</v>
      </c>
      <c r="L8" s="9">
        <f t="shared" si="4"/>
        <v>0.5546398314418683</v>
      </c>
      <c r="M8" s="9">
        <f t="shared" si="5"/>
        <v>0.6859191308181154</v>
      </c>
      <c r="N8" s="9">
        <f t="shared" si="6"/>
        <v>0.8171984301943624</v>
      </c>
      <c r="O8" s="9">
        <f t="shared" si="7"/>
        <v>0.9359191308181153</v>
      </c>
      <c r="P8" s="9">
        <f>sunrise(Location!$B$4,Location!$B$5,Location!$B$6,9,A8,Location!$B$7,IF(Location!$B$8="No",0,1))</f>
        <v>0.2920812326893741</v>
      </c>
      <c r="Q8" s="9">
        <f>sunset(Location!$B$4,Location!$B$5,Location!$B$6,9,A8,Location!$B$7,IF(Location!$B$8="No",0,1))</f>
        <v>0.8171984301943624</v>
      </c>
      <c r="R8" s="9">
        <f t="shared" si="8"/>
        <v>0.5251171975049884</v>
      </c>
      <c r="S8" s="10">
        <f t="shared" si="9"/>
        <v>0.04375976645874904</v>
      </c>
      <c r="T8" s="9">
        <f t="shared" si="10"/>
        <v>23.47488280249501</v>
      </c>
      <c r="U8" s="10">
        <f t="shared" si="11"/>
        <v>0.03957356687458429</v>
      </c>
    </row>
    <row r="9" spans="1:21" ht="12.75">
      <c r="A9" s="5">
        <v>7</v>
      </c>
      <c r="B9" s="6" t="str">
        <f>Augustus!B33</f>
        <v>Tuesday</v>
      </c>
      <c r="C9" s="59"/>
      <c r="D9" s="95" t="s">
        <v>28</v>
      </c>
      <c r="E9" s="8" t="s">
        <v>29</v>
      </c>
      <c r="F9" s="6" t="s">
        <v>96</v>
      </c>
      <c r="G9" s="130"/>
      <c r="H9" s="9">
        <f t="shared" si="0"/>
        <v>12.054403878891709</v>
      </c>
      <c r="I9" s="9">
        <f t="shared" si="1"/>
        <v>6.173424792191814</v>
      </c>
      <c r="J9" s="9">
        <f t="shared" si="2"/>
        <v>0.29244570549191923</v>
      </c>
      <c r="K9" s="9">
        <f t="shared" si="3"/>
        <v>0.42342479219181406</v>
      </c>
      <c r="L9" s="9">
        <f t="shared" si="4"/>
        <v>0.554403878891709</v>
      </c>
      <c r="M9" s="9">
        <f t="shared" si="5"/>
        <v>0.6853829655916038</v>
      </c>
      <c r="N9" s="9">
        <f t="shared" si="6"/>
        <v>0.8163620522914987</v>
      </c>
      <c r="O9" s="9">
        <f t="shared" si="7"/>
        <v>0.9353829655916038</v>
      </c>
      <c r="P9" s="9">
        <f>sunrise(Location!$B$4,Location!$B$5,Location!$B$6,9,A9,Location!$B$7,IF(Location!$B$8="No",0,1))</f>
        <v>0.29244570549191923</v>
      </c>
      <c r="Q9" s="9">
        <f>sunset(Location!$B$4,Location!$B$5,Location!$B$6,9,A9,Location!$B$7,IF(Location!$B$8="No",0,1))</f>
        <v>0.8163620522914987</v>
      </c>
      <c r="R9" s="9">
        <f t="shared" si="8"/>
        <v>0.5239163467995795</v>
      </c>
      <c r="S9" s="10">
        <f t="shared" si="9"/>
        <v>0.04365969556663163</v>
      </c>
      <c r="T9" s="9">
        <f t="shared" si="10"/>
        <v>23.47608365320042</v>
      </c>
      <c r="U9" s="10">
        <f t="shared" si="11"/>
        <v>0.0396736377667017</v>
      </c>
    </row>
    <row r="10" spans="1:21" ht="12.75">
      <c r="A10" s="5">
        <v>8</v>
      </c>
      <c r="B10" s="6" t="str">
        <f aca="true" t="shared" si="12" ref="B10:B16">B3</f>
        <v>Wednesday</v>
      </c>
      <c r="C10" s="59"/>
      <c r="D10" s="7"/>
      <c r="E10" s="8" t="s">
        <v>32</v>
      </c>
      <c r="F10" s="6" t="s">
        <v>97</v>
      </c>
      <c r="G10" s="48" t="s">
        <v>144</v>
      </c>
      <c r="H10" s="9">
        <f t="shared" si="0"/>
        <v>12.054165812016413</v>
      </c>
      <c r="I10" s="9">
        <f t="shared" si="1"/>
        <v>6.173487668093876</v>
      </c>
      <c r="J10" s="9">
        <f t="shared" si="2"/>
        <v>0.29280952417133954</v>
      </c>
      <c r="K10" s="9">
        <f t="shared" si="3"/>
        <v>0.4234876680938763</v>
      </c>
      <c r="L10" s="9">
        <f t="shared" si="4"/>
        <v>0.554165812016413</v>
      </c>
      <c r="M10" s="9">
        <f t="shared" si="5"/>
        <v>0.6848439559389496</v>
      </c>
      <c r="N10" s="9">
        <f t="shared" si="6"/>
        <v>0.8155220998614864</v>
      </c>
      <c r="O10" s="9">
        <f t="shared" si="7"/>
        <v>0.9348439559389496</v>
      </c>
      <c r="P10" s="9">
        <f>sunrise(Location!$B$4,Location!$B$5,Location!$B$6,9,A10,Location!$B$7,IF(Location!$B$8="No",0,1))</f>
        <v>0.29280952417133954</v>
      </c>
      <c r="Q10" s="9">
        <f>sunset(Location!$B$4,Location!$B$5,Location!$B$6,9,A10,Location!$B$7,IF(Location!$B$8="No",0,1))</f>
        <v>0.8155220998614864</v>
      </c>
      <c r="R10" s="9">
        <f t="shared" si="8"/>
        <v>0.5227125756901468</v>
      </c>
      <c r="S10" s="10">
        <f t="shared" si="9"/>
        <v>0.04355938130751224</v>
      </c>
      <c r="T10" s="9">
        <f t="shared" si="10"/>
        <v>23.477287424309853</v>
      </c>
      <c r="U10" s="10">
        <f t="shared" si="11"/>
        <v>0.03977395202582109</v>
      </c>
    </row>
    <row r="11" spans="1:21" ht="12.75">
      <c r="A11" s="5">
        <v>9</v>
      </c>
      <c r="B11" s="6" t="str">
        <f t="shared" si="12"/>
        <v>Thursday</v>
      </c>
      <c r="C11" s="59"/>
      <c r="D11" s="95" t="s">
        <v>35</v>
      </c>
      <c r="E11" s="8" t="s">
        <v>36</v>
      </c>
      <c r="F11" s="6" t="s">
        <v>98</v>
      </c>
      <c r="G11" s="130"/>
      <c r="H11" s="9">
        <f t="shared" si="0"/>
        <v>12.053925840018996</v>
      </c>
      <c r="I11" s="9">
        <f t="shared" si="1"/>
        <v>6.173549321190431</v>
      </c>
      <c r="J11" s="9">
        <f t="shared" si="2"/>
        <v>0.2931728023618661</v>
      </c>
      <c r="K11" s="9">
        <f t="shared" si="3"/>
        <v>0.4235493211904311</v>
      </c>
      <c r="L11" s="9">
        <f t="shared" si="4"/>
        <v>0.5539258400189961</v>
      </c>
      <c r="M11" s="9">
        <f t="shared" si="5"/>
        <v>0.6843023588475612</v>
      </c>
      <c r="N11" s="9">
        <f t="shared" si="6"/>
        <v>0.8146788776761263</v>
      </c>
      <c r="O11" s="9">
        <f t="shared" si="7"/>
        <v>0.9343023588475613</v>
      </c>
      <c r="P11" s="9">
        <f>sunrise(Location!$B$4,Location!$B$5,Location!$B$6,9,A11,Location!$B$7,IF(Location!$B$8="No",0,1))</f>
        <v>0.2931728023618661</v>
      </c>
      <c r="Q11" s="9">
        <f>sunset(Location!$B$4,Location!$B$5,Location!$B$6,9,A11,Location!$B$7,IF(Location!$B$8="No",0,1))</f>
        <v>0.8146788776761263</v>
      </c>
      <c r="R11" s="9">
        <f t="shared" si="8"/>
        <v>0.5215060753142602</v>
      </c>
      <c r="S11" s="10">
        <f t="shared" si="9"/>
        <v>0.04345883960952168</v>
      </c>
      <c r="T11" s="9">
        <f t="shared" si="10"/>
        <v>23.47849392468574</v>
      </c>
      <c r="U11" s="10">
        <f t="shared" si="11"/>
        <v>0.039874493723811646</v>
      </c>
    </row>
    <row r="12" spans="1:21" ht="12.75">
      <c r="A12" s="5">
        <v>10</v>
      </c>
      <c r="B12" s="6" t="str">
        <f t="shared" si="12"/>
        <v>Friday</v>
      </c>
      <c r="C12" s="59"/>
      <c r="D12" s="95" t="s">
        <v>38</v>
      </c>
      <c r="E12" s="8" t="s">
        <v>17</v>
      </c>
      <c r="F12" s="6" t="s">
        <v>99</v>
      </c>
      <c r="G12" s="130"/>
      <c r="H12" s="9">
        <f t="shared" si="0"/>
        <v>12.053684174330419</v>
      </c>
      <c r="I12" s="9">
        <f t="shared" si="1"/>
        <v>6.173609916031889</v>
      </c>
      <c r="J12" s="9">
        <f t="shared" si="2"/>
        <v>0.2935356577333593</v>
      </c>
      <c r="K12" s="9">
        <f t="shared" si="3"/>
        <v>0.4236099160318889</v>
      </c>
      <c r="L12" s="9">
        <f t="shared" si="4"/>
        <v>0.5536841743304185</v>
      </c>
      <c r="M12" s="9">
        <f t="shared" si="5"/>
        <v>0.6837584326289481</v>
      </c>
      <c r="N12" s="9">
        <f t="shared" si="6"/>
        <v>0.8138326909274777</v>
      </c>
      <c r="O12" s="9">
        <f t="shared" si="7"/>
        <v>0.9337584326289481</v>
      </c>
      <c r="P12" s="9">
        <f>sunrise(Location!$B$4,Location!$B$5,Location!$B$6,9,A12,Location!$B$7,IF(Location!$B$8="No",0,1))</f>
        <v>0.2935356577333593</v>
      </c>
      <c r="Q12" s="9">
        <f>sunset(Location!$B$4,Location!$B$5,Location!$B$6,9,A12,Location!$B$7,IF(Location!$B$8="No",0,1))</f>
        <v>0.8138326909274777</v>
      </c>
      <c r="R12" s="9">
        <f t="shared" si="8"/>
        <v>0.5202970331941184</v>
      </c>
      <c r="S12" s="10">
        <f t="shared" si="9"/>
        <v>0.04335808609950986</v>
      </c>
      <c r="T12" s="9">
        <f t="shared" si="10"/>
        <v>23.47970296680588</v>
      </c>
      <c r="U12" s="10">
        <f t="shared" si="11"/>
        <v>0.039975247233823466</v>
      </c>
    </row>
    <row r="13" spans="1:21" ht="12.75">
      <c r="A13" s="5">
        <v>11</v>
      </c>
      <c r="B13" s="6" t="str">
        <f t="shared" si="12"/>
        <v>Saturday</v>
      </c>
      <c r="C13" s="59"/>
      <c r="D13" s="7"/>
      <c r="E13" s="8" t="s">
        <v>21</v>
      </c>
      <c r="F13" s="6" t="s">
        <v>101</v>
      </c>
      <c r="G13" s="130"/>
      <c r="H13" s="9">
        <f t="shared" si="0"/>
        <v>12.053441028519586</v>
      </c>
      <c r="I13" s="9">
        <f t="shared" si="1"/>
        <v>6.173669620144026</v>
      </c>
      <c r="J13" s="9">
        <f t="shared" si="2"/>
        <v>0.29389821176846714</v>
      </c>
      <c r="K13" s="9">
        <f t="shared" si="3"/>
        <v>0.42366962014402676</v>
      </c>
      <c r="L13" s="9">
        <f t="shared" si="4"/>
        <v>0.5534410285195863</v>
      </c>
      <c r="M13" s="9">
        <f t="shared" si="5"/>
        <v>0.683212436895146</v>
      </c>
      <c r="N13" s="9">
        <f t="shared" si="6"/>
        <v>0.8129838452707057</v>
      </c>
      <c r="O13" s="9">
        <f t="shared" si="7"/>
        <v>0.933212436895146</v>
      </c>
      <c r="P13" s="9">
        <f>sunrise(Location!$B$4,Location!$B$5,Location!$B$6,9,A13,Location!$B$7,IF(Location!$B$8="No",0,1))</f>
        <v>0.29389821176846714</v>
      </c>
      <c r="Q13" s="9">
        <f>sunset(Location!$B$4,Location!$B$5,Location!$B$6,9,A13,Location!$B$7,IF(Location!$B$8="No",0,1))</f>
        <v>0.8129838452707057</v>
      </c>
      <c r="R13" s="9">
        <f t="shared" si="8"/>
        <v>0.5190856335022385</v>
      </c>
      <c r="S13" s="10">
        <f t="shared" si="9"/>
        <v>0.043257136125186536</v>
      </c>
      <c r="T13" s="9">
        <f t="shared" si="10"/>
        <v>23.48091436649776</v>
      </c>
      <c r="U13" s="10">
        <f t="shared" si="11"/>
        <v>0.04007619720814679</v>
      </c>
    </row>
    <row r="14" spans="1:21" ht="12.75">
      <c r="A14" s="5">
        <v>12</v>
      </c>
      <c r="B14" s="6" t="str">
        <f t="shared" si="12"/>
        <v>Sunday</v>
      </c>
      <c r="C14" s="59"/>
      <c r="D14" s="95" t="s">
        <v>40</v>
      </c>
      <c r="E14" s="8" t="s">
        <v>24</v>
      </c>
      <c r="F14" s="6" t="s">
        <v>46</v>
      </c>
      <c r="G14" s="134" t="s">
        <v>303</v>
      </c>
      <c r="H14" s="9">
        <f t="shared" si="0"/>
        <v>12.053196618207956</v>
      </c>
      <c r="I14" s="9">
        <f t="shared" si="1"/>
        <v>6.1737286038751025</v>
      </c>
      <c r="J14" s="9">
        <f t="shared" si="2"/>
        <v>0.2942605895422489</v>
      </c>
      <c r="K14" s="9">
        <f t="shared" si="3"/>
        <v>0.42372860387510275</v>
      </c>
      <c r="L14" s="9">
        <f t="shared" si="4"/>
        <v>0.5531966182079566</v>
      </c>
      <c r="M14" s="9">
        <f t="shared" si="5"/>
        <v>0.6826646325408106</v>
      </c>
      <c r="N14" s="9">
        <f t="shared" si="6"/>
        <v>0.8121326468736644</v>
      </c>
      <c r="O14" s="9">
        <f t="shared" si="7"/>
        <v>0.9326646325408104</v>
      </c>
      <c r="P14" s="9">
        <f>sunrise(Location!$B$4,Location!$B$5,Location!$B$6,9,A14,Location!$B$7,IF(Location!$B$8="No",0,1))</f>
        <v>0.2942605895422489</v>
      </c>
      <c r="Q14" s="9">
        <f>sunset(Location!$B$4,Location!$B$5,Location!$B$6,9,A14,Location!$B$7,IF(Location!$B$8="No",0,1))</f>
        <v>0.8121326468736644</v>
      </c>
      <c r="R14" s="9">
        <f t="shared" si="8"/>
        <v>0.5178720573314155</v>
      </c>
      <c r="S14" s="10">
        <f t="shared" si="9"/>
        <v>0.04315600477761796</v>
      </c>
      <c r="T14" s="9">
        <f t="shared" si="10"/>
        <v>23.482127942668583</v>
      </c>
      <c r="U14" s="10">
        <f t="shared" si="11"/>
        <v>0.04017732855571537</v>
      </c>
    </row>
    <row r="15" spans="1:21" ht="12.75">
      <c r="A15" s="5">
        <v>13</v>
      </c>
      <c r="B15" s="6" t="str">
        <f t="shared" si="12"/>
        <v>Monday</v>
      </c>
      <c r="C15" s="59"/>
      <c r="D15" s="95" t="s">
        <v>42</v>
      </c>
      <c r="E15" s="8" t="s">
        <v>26</v>
      </c>
      <c r="F15" s="6" t="s">
        <v>47</v>
      </c>
      <c r="G15" s="130"/>
      <c r="H15" s="9">
        <f t="shared" si="0"/>
        <v>12.052951160985655</v>
      </c>
      <c r="I15" s="9">
        <f t="shared" si="1"/>
        <v>6.173787040243829</v>
      </c>
      <c r="J15" s="9">
        <f t="shared" si="2"/>
        <v>0.2946229195020017</v>
      </c>
      <c r="K15" s="9">
        <f t="shared" si="3"/>
        <v>0.42378704024382885</v>
      </c>
      <c r="L15" s="9">
        <f t="shared" si="4"/>
        <v>0.552951160985656</v>
      </c>
      <c r="M15" s="9">
        <f t="shared" si="5"/>
        <v>0.6821152817274831</v>
      </c>
      <c r="N15" s="9">
        <f t="shared" si="6"/>
        <v>0.8112794024693103</v>
      </c>
      <c r="O15" s="9">
        <f t="shared" si="7"/>
        <v>0.9321152817274831</v>
      </c>
      <c r="P15" s="9">
        <f>sunrise(Location!$B$4,Location!$B$5,Location!$B$6,9,A15,Location!$B$7,IF(Location!$B$8="No",0,1))</f>
        <v>0.2946229195020017</v>
      </c>
      <c r="Q15" s="9">
        <f>sunset(Location!$B$4,Location!$B$5,Location!$B$6,9,A15,Location!$B$7,IF(Location!$B$8="No",0,1))</f>
        <v>0.8112794024693103</v>
      </c>
      <c r="R15" s="9">
        <f t="shared" si="8"/>
        <v>0.5166564829673086</v>
      </c>
      <c r="S15" s="10">
        <f t="shared" si="9"/>
        <v>0.043054706913942385</v>
      </c>
      <c r="T15" s="9">
        <f t="shared" si="10"/>
        <v>23.48334351703269</v>
      </c>
      <c r="U15" s="10">
        <f t="shared" si="11"/>
        <v>0.040278626419390944</v>
      </c>
    </row>
    <row r="16" spans="1:21" ht="12.75">
      <c r="A16" s="5">
        <v>14</v>
      </c>
      <c r="B16" s="6" t="str">
        <f t="shared" si="12"/>
        <v>Tuesday</v>
      </c>
      <c r="C16" s="60"/>
      <c r="D16" s="7"/>
      <c r="E16" s="8" t="s">
        <v>29</v>
      </c>
      <c r="F16" s="6" t="s">
        <v>122</v>
      </c>
      <c r="G16" s="46" t="s">
        <v>145</v>
      </c>
      <c r="H16" s="9">
        <f t="shared" si="0"/>
        <v>12.052704876332044</v>
      </c>
      <c r="I16" s="9">
        <f t="shared" si="1"/>
        <v>6.17384510479079</v>
      </c>
      <c r="J16" s="9">
        <f t="shared" si="2"/>
        <v>0.2949853332495366</v>
      </c>
      <c r="K16" s="9">
        <f t="shared" si="3"/>
        <v>0.4238451047907899</v>
      </c>
      <c r="L16" s="9">
        <f t="shared" si="4"/>
        <v>0.5527048763320432</v>
      </c>
      <c r="M16" s="9">
        <f t="shared" si="5"/>
        <v>0.6815646478732966</v>
      </c>
      <c r="N16" s="9">
        <f t="shared" si="6"/>
        <v>0.8104244194145499</v>
      </c>
      <c r="O16" s="9">
        <f t="shared" si="7"/>
        <v>0.9315646478732965</v>
      </c>
      <c r="P16" s="9">
        <f>sunrise(Location!$B$4,Location!$B$5,Location!$B$6,9,A16,Location!$B$7,IF(Location!$B$8="No",0,1))</f>
        <v>0.2949853332495366</v>
      </c>
      <c r="Q16" s="9">
        <f>sunset(Location!$B$4,Location!$B$5,Location!$B$6,9,A16,Location!$B$7,IF(Location!$B$8="No",0,1))</f>
        <v>0.8104244194145499</v>
      </c>
      <c r="R16" s="9">
        <f t="shared" si="8"/>
        <v>0.5154390861650133</v>
      </c>
      <c r="S16" s="10">
        <f t="shared" si="9"/>
        <v>0.04295325718041778</v>
      </c>
      <c r="T16" s="9">
        <f t="shared" si="10"/>
        <v>23.484560913834986</v>
      </c>
      <c r="U16" s="10">
        <f t="shared" si="11"/>
        <v>0.04038007615291555</v>
      </c>
    </row>
    <row r="17" spans="1:21" ht="12.75">
      <c r="A17" s="5">
        <v>15</v>
      </c>
      <c r="B17" s="6" t="str">
        <f aca="true" t="shared" si="13" ref="B17:B23">B3</f>
        <v>Wednesday</v>
      </c>
      <c r="C17" s="59"/>
      <c r="D17" s="95" t="s">
        <v>45</v>
      </c>
      <c r="E17" s="8" t="s">
        <v>32</v>
      </c>
      <c r="F17" s="6" t="s">
        <v>102</v>
      </c>
      <c r="G17" s="157" t="s">
        <v>211</v>
      </c>
      <c r="H17" s="9">
        <f t="shared" si="0"/>
        <v>12.052457985537455</v>
      </c>
      <c r="I17" s="9">
        <f t="shared" si="1"/>
        <v>6.173902975429401</v>
      </c>
      <c r="J17" s="9">
        <f t="shared" si="2"/>
        <v>0.29534796532134716</v>
      </c>
      <c r="K17" s="9">
        <f t="shared" si="3"/>
        <v>0.42390297542940136</v>
      </c>
      <c r="L17" s="9">
        <f t="shared" si="4"/>
        <v>0.5524579855374556</v>
      </c>
      <c r="M17" s="9">
        <f t="shared" si="5"/>
        <v>0.6810129956455098</v>
      </c>
      <c r="N17" s="9">
        <f t="shared" si="6"/>
        <v>0.809568005753564</v>
      </c>
      <c r="O17" s="9">
        <f t="shared" si="7"/>
        <v>0.9310129956455098</v>
      </c>
      <c r="P17" s="9">
        <f>sunrise(Location!$B$4,Location!$B$5,Location!$B$6,9,A17,Location!$B$7,IF(Location!$B$8="No",0,1))</f>
        <v>0.29534796532134716</v>
      </c>
      <c r="Q17" s="9">
        <f>sunset(Location!$B$4,Location!$B$5,Location!$B$6,9,A17,Location!$B$7,IF(Location!$B$8="No",0,1))</f>
        <v>0.809568005753564</v>
      </c>
      <c r="R17" s="9">
        <f t="shared" si="8"/>
        <v>0.5142200404322168</v>
      </c>
      <c r="S17" s="10">
        <f t="shared" si="9"/>
        <v>0.042851670036018065</v>
      </c>
      <c r="T17" s="9">
        <f t="shared" si="10"/>
        <v>23.485779959567783</v>
      </c>
      <c r="U17" s="10">
        <f t="shared" si="11"/>
        <v>0.040481663297315264</v>
      </c>
    </row>
    <row r="18" spans="1:21" ht="12.75">
      <c r="A18" s="5">
        <v>16</v>
      </c>
      <c r="B18" s="6" t="str">
        <f t="shared" si="13"/>
        <v>Thursday</v>
      </c>
      <c r="C18" s="59"/>
      <c r="D18" s="7"/>
      <c r="E18" s="8" t="s">
        <v>36</v>
      </c>
      <c r="F18" s="6" t="s">
        <v>103</v>
      </c>
      <c r="G18" s="130"/>
      <c r="H18" s="9">
        <f t="shared" si="0"/>
        <v>12.052210711625762</v>
      </c>
      <c r="I18" s="9">
        <f t="shared" si="1"/>
        <v>6.173960832298225</v>
      </c>
      <c r="J18" s="9">
        <f t="shared" si="2"/>
        <v>0.2957109529706895</v>
      </c>
      <c r="K18" s="9">
        <f t="shared" si="3"/>
        <v>0.4239608322982252</v>
      </c>
      <c r="L18" s="9">
        <f t="shared" si="4"/>
        <v>0.5522107116257609</v>
      </c>
      <c r="M18" s="9">
        <f t="shared" si="5"/>
        <v>0.6804605909532965</v>
      </c>
      <c r="N18" s="9">
        <f t="shared" si="6"/>
        <v>0.8087104702808321</v>
      </c>
      <c r="O18" s="9">
        <f t="shared" si="7"/>
        <v>0.9304605909532964</v>
      </c>
      <c r="P18" s="9">
        <f>sunrise(Location!$B$4,Location!$B$5,Location!$B$6,9,A18,Location!$B$7,IF(Location!$B$8="No",0,1))</f>
        <v>0.2957109529706895</v>
      </c>
      <c r="Q18" s="9">
        <f>sunset(Location!$B$4,Location!$B$5,Location!$B$6,9,A18,Location!$B$7,IF(Location!$B$8="No",0,1))</f>
        <v>0.8087104702808321</v>
      </c>
      <c r="R18" s="9">
        <f t="shared" si="8"/>
        <v>0.5129995173101426</v>
      </c>
      <c r="S18" s="10">
        <f t="shared" si="9"/>
        <v>0.04274995977584522</v>
      </c>
      <c r="T18" s="9">
        <f t="shared" si="10"/>
        <v>23.487000482689858</v>
      </c>
      <c r="U18" s="10">
        <f t="shared" si="11"/>
        <v>0.04058337355748811</v>
      </c>
    </row>
    <row r="19" spans="1:21" ht="12.75">
      <c r="A19" s="5">
        <v>17</v>
      </c>
      <c r="B19" s="6" t="str">
        <f t="shared" si="13"/>
        <v>Friday</v>
      </c>
      <c r="C19" s="59"/>
      <c r="D19" s="95" t="s">
        <v>48</v>
      </c>
      <c r="E19" s="8" t="s">
        <v>17</v>
      </c>
      <c r="F19" s="6" t="s">
        <v>105</v>
      </c>
      <c r="G19" s="157" t="s">
        <v>211</v>
      </c>
      <c r="H19" s="9">
        <f t="shared" si="0"/>
        <v>12.051963279278834</v>
      </c>
      <c r="I19" s="9">
        <f t="shared" si="1"/>
        <v>6.174018857613145</v>
      </c>
      <c r="J19" s="9">
        <f t="shared" si="2"/>
        <v>0.29607443594745747</v>
      </c>
      <c r="K19" s="9">
        <f t="shared" si="3"/>
        <v>0.4240188576131453</v>
      </c>
      <c r="L19" s="9">
        <f t="shared" si="4"/>
        <v>0.5519632792788332</v>
      </c>
      <c r="M19" s="9">
        <f t="shared" si="5"/>
        <v>0.6799077009445209</v>
      </c>
      <c r="N19" s="9">
        <f t="shared" si="6"/>
        <v>0.8078521226102087</v>
      </c>
      <c r="O19" s="9">
        <f t="shared" si="7"/>
        <v>0.9299077009445208</v>
      </c>
      <c r="P19" s="9">
        <f>sunrise(Location!$B$4,Location!$B$5,Location!$B$6,9,A19,Location!$B$7,IF(Location!$B$8="No",0,1))</f>
        <v>0.29607443594745747</v>
      </c>
      <c r="Q19" s="9">
        <f>sunset(Location!$B$4,Location!$B$5,Location!$B$6,9,A19,Location!$B$7,IF(Location!$B$8="No",0,1))</f>
        <v>0.8078521226102087</v>
      </c>
      <c r="R19" s="9">
        <f t="shared" si="8"/>
        <v>0.5117776866627513</v>
      </c>
      <c r="S19" s="10">
        <f t="shared" si="9"/>
        <v>0.04264814055522927</v>
      </c>
      <c r="T19" s="9">
        <f t="shared" si="10"/>
        <v>23.48822231333725</v>
      </c>
      <c r="U19" s="10">
        <f t="shared" si="11"/>
        <v>0.040685192778104055</v>
      </c>
    </row>
    <row r="20" spans="1:21" ht="12.75">
      <c r="A20" s="5">
        <v>18</v>
      </c>
      <c r="B20" s="6" t="str">
        <f t="shared" si="13"/>
        <v>Saturday</v>
      </c>
      <c r="C20" s="59"/>
      <c r="D20" s="95" t="s">
        <v>50</v>
      </c>
      <c r="E20" s="8" t="s">
        <v>21</v>
      </c>
      <c r="F20" s="6" t="s">
        <v>107</v>
      </c>
      <c r="G20" s="157" t="s">
        <v>211</v>
      </c>
      <c r="H20" s="9">
        <f t="shared" si="0"/>
        <v>12.05171591475919</v>
      </c>
      <c r="I20" s="9">
        <f t="shared" si="1"/>
        <v>6.174077235518149</v>
      </c>
      <c r="J20" s="9">
        <f t="shared" si="2"/>
        <v>0.2964385562771065</v>
      </c>
      <c r="K20" s="9">
        <f t="shared" si="3"/>
        <v>0.4240772355181487</v>
      </c>
      <c r="L20" s="9">
        <f t="shared" si="4"/>
        <v>0.5517159147591908</v>
      </c>
      <c r="M20" s="9">
        <f t="shared" si="5"/>
        <v>0.679354594000233</v>
      </c>
      <c r="N20" s="9">
        <f t="shared" si="6"/>
        <v>0.8069932732412751</v>
      </c>
      <c r="O20" s="9">
        <f t="shared" si="7"/>
        <v>0.9293545940002329</v>
      </c>
      <c r="P20" s="9">
        <f>sunrise(Location!$B$4,Location!$B$5,Location!$B$6,9,A20,Location!$B$7,IF(Location!$B$8="No",0,1))</f>
        <v>0.2964385562771065</v>
      </c>
      <c r="Q20" s="9">
        <f>sunset(Location!$B$4,Location!$B$5,Location!$B$6,9,A20,Location!$B$7,IF(Location!$B$8="No",0,1))</f>
        <v>0.8069932732412751</v>
      </c>
      <c r="R20" s="9">
        <f t="shared" si="8"/>
        <v>0.5105547169641687</v>
      </c>
      <c r="S20" s="10">
        <f t="shared" si="9"/>
        <v>0.04254622641368072</v>
      </c>
      <c r="T20" s="9">
        <f t="shared" si="10"/>
        <v>23.48944528303583</v>
      </c>
      <c r="U20" s="10">
        <f t="shared" si="11"/>
        <v>0.04078710691965261</v>
      </c>
    </row>
    <row r="21" spans="1:21" ht="12.75">
      <c r="A21" s="5">
        <v>19</v>
      </c>
      <c r="B21" s="6" t="str">
        <f t="shared" si="13"/>
        <v>Sunday</v>
      </c>
      <c r="C21" s="59"/>
      <c r="D21" s="7"/>
      <c r="E21" s="8" t="s">
        <v>24</v>
      </c>
      <c r="F21" s="6" t="s">
        <v>108</v>
      </c>
      <c r="G21" s="134" t="s">
        <v>305</v>
      </c>
      <c r="H21" s="9">
        <f t="shared" si="0"/>
        <v>12.051468845833405</v>
      </c>
      <c r="I21" s="9">
        <f t="shared" si="1"/>
        <v>6.174136151935449</v>
      </c>
      <c r="J21" s="9">
        <f t="shared" si="2"/>
        <v>0.29680345803749325</v>
      </c>
      <c r="K21" s="9">
        <f t="shared" si="3"/>
        <v>0.4241361519354486</v>
      </c>
      <c r="L21" s="9">
        <f t="shared" si="4"/>
        <v>0.551468845833404</v>
      </c>
      <c r="M21" s="9">
        <f t="shared" si="5"/>
        <v>0.6788015397313594</v>
      </c>
      <c r="N21" s="9">
        <f t="shared" si="6"/>
        <v>0.8061342336293147</v>
      </c>
      <c r="O21" s="9">
        <f t="shared" si="7"/>
        <v>0.9288015397313593</v>
      </c>
      <c r="P21" s="9">
        <f>sunrise(Location!$B$4,Location!$B$5,Location!$B$6,9,A21,Location!$B$7,IF(Location!$B$8="No",0,1))</f>
        <v>0.29680345803749325</v>
      </c>
      <c r="Q21" s="9">
        <f>sunset(Location!$B$4,Location!$B$5,Location!$B$6,9,A21,Location!$B$7,IF(Location!$B$8="No",0,1))</f>
        <v>0.8061342336293147</v>
      </c>
      <c r="R21" s="9">
        <f t="shared" si="8"/>
        <v>0.5093307755918215</v>
      </c>
      <c r="S21" s="10">
        <f t="shared" si="9"/>
        <v>0.04244423129931846</v>
      </c>
      <c r="T21" s="9">
        <f t="shared" si="10"/>
        <v>23.49066922440818</v>
      </c>
      <c r="U21" s="10">
        <f t="shared" si="11"/>
        <v>0.04088910203401487</v>
      </c>
    </row>
    <row r="22" spans="1:21" ht="12.75">
      <c r="A22" s="5">
        <v>20</v>
      </c>
      <c r="B22" s="6" t="str">
        <f t="shared" si="13"/>
        <v>Monday</v>
      </c>
      <c r="C22" s="59"/>
      <c r="D22" s="95" t="s">
        <v>53</v>
      </c>
      <c r="E22" s="8" t="s">
        <v>26</v>
      </c>
      <c r="F22" s="6" t="s">
        <v>110</v>
      </c>
      <c r="G22" s="130"/>
      <c r="H22" s="9">
        <f t="shared" si="0"/>
        <v>12.051222301693253</v>
      </c>
      <c r="I22" s="9">
        <f t="shared" si="1"/>
        <v>6.174195794413038</v>
      </c>
      <c r="J22" s="9">
        <f t="shared" si="2"/>
        <v>0.29716928713282204</v>
      </c>
      <c r="K22" s="9">
        <f t="shared" si="3"/>
        <v>0.4241957944130377</v>
      </c>
      <c r="L22" s="9">
        <f t="shared" si="4"/>
        <v>0.5512223016932534</v>
      </c>
      <c r="M22" s="9">
        <f t="shared" si="5"/>
        <v>0.678248808973469</v>
      </c>
      <c r="N22" s="9">
        <f t="shared" si="6"/>
        <v>0.8052753162536845</v>
      </c>
      <c r="O22" s="9">
        <f t="shared" si="7"/>
        <v>0.9282488089734688</v>
      </c>
      <c r="P22" s="9">
        <f>sunrise(Location!$B$4,Location!$B$5,Location!$B$6,9,A22,Location!$B$7,IF(Location!$B$8="No",0,1))</f>
        <v>0.29716928713282204</v>
      </c>
      <c r="Q22" s="9">
        <f>sunset(Location!$B$4,Location!$B$5,Location!$B$6,9,A22,Location!$B$7,IF(Location!$B$8="No",0,1))</f>
        <v>0.8052753162536845</v>
      </c>
      <c r="R22" s="9">
        <f t="shared" si="8"/>
        <v>0.5081060291208626</v>
      </c>
      <c r="S22" s="10">
        <f t="shared" si="9"/>
        <v>0.04234216909340521</v>
      </c>
      <c r="T22" s="9">
        <f t="shared" si="10"/>
        <v>23.491893970879136</v>
      </c>
      <c r="U22" s="10">
        <f t="shared" si="11"/>
        <v>0.040991164239928116</v>
      </c>
    </row>
    <row r="23" spans="1:21" ht="12.75">
      <c r="A23" s="5">
        <v>21</v>
      </c>
      <c r="B23" s="6" t="str">
        <f t="shared" si="13"/>
        <v>Tuesday</v>
      </c>
      <c r="C23" s="59"/>
      <c r="D23" s="95" t="s">
        <v>55</v>
      </c>
      <c r="E23" s="8" t="s">
        <v>29</v>
      </c>
      <c r="F23" s="6" t="s">
        <v>111</v>
      </c>
      <c r="G23" s="47" t="s">
        <v>225</v>
      </c>
      <c r="H23" s="9">
        <f t="shared" si="0"/>
        <v>12.050976512873877</v>
      </c>
      <c r="I23" s="9">
        <f t="shared" si="1"/>
        <v>6.174256351969132</v>
      </c>
      <c r="J23" s="9">
        <f t="shared" si="2"/>
        <v>0.29753619106438717</v>
      </c>
      <c r="K23" s="9">
        <f t="shared" si="3"/>
        <v>0.42425635196913225</v>
      </c>
      <c r="L23" s="9">
        <f t="shared" si="4"/>
        <v>0.5509765128738773</v>
      </c>
      <c r="M23" s="9">
        <f t="shared" si="5"/>
        <v>0.6776966737786223</v>
      </c>
      <c r="N23" s="9">
        <f t="shared" si="6"/>
        <v>0.8044168346833672</v>
      </c>
      <c r="O23" s="9">
        <f t="shared" si="7"/>
        <v>0.9276966737786222</v>
      </c>
      <c r="P23" s="9">
        <f>sunrise(Location!$B$4,Location!$B$5,Location!$B$6,9,A23,Location!$B$7,IF(Location!$B$8="No",0,1))</f>
        <v>0.29753619106438717</v>
      </c>
      <c r="Q23" s="9">
        <f>sunset(Location!$B$4,Location!$B$5,Location!$B$6,9,A23,Location!$B$7,IF(Location!$B$8="No",0,1))</f>
        <v>0.8044168346833672</v>
      </c>
      <c r="R23" s="9">
        <f t="shared" si="8"/>
        <v>0.5068806436189801</v>
      </c>
      <c r="S23" s="10">
        <f t="shared" si="9"/>
        <v>0.04224005363491501</v>
      </c>
      <c r="T23" s="9">
        <f t="shared" si="10"/>
        <v>23.49311935638102</v>
      </c>
      <c r="U23" s="10">
        <f t="shared" si="11"/>
        <v>0.04109327969841832</v>
      </c>
    </row>
    <row r="24" spans="1:21" ht="12.75">
      <c r="A24" s="5">
        <v>22</v>
      </c>
      <c r="B24" s="6" t="str">
        <f aca="true" t="shared" si="14" ref="B24:B30">B3</f>
        <v>Wednesday</v>
      </c>
      <c r="C24" s="59"/>
      <c r="D24" s="7"/>
      <c r="E24" s="8" t="s">
        <v>32</v>
      </c>
      <c r="F24" s="6" t="s">
        <v>112</v>
      </c>
      <c r="G24" s="130"/>
      <c r="H24" s="9">
        <f t="shared" si="0"/>
        <v>12.050731711170414</v>
      </c>
      <c r="I24" s="9">
        <f t="shared" si="1"/>
        <v>6.174318014933586</v>
      </c>
      <c r="J24" s="9">
        <f t="shared" si="2"/>
        <v>0.2979043186967592</v>
      </c>
      <c r="K24" s="9">
        <f t="shared" si="3"/>
        <v>0.42431801493358623</v>
      </c>
      <c r="L24" s="9">
        <f t="shared" si="4"/>
        <v>0.5507317111704133</v>
      </c>
      <c r="M24" s="9">
        <f t="shared" si="5"/>
        <v>0.6771454074072403</v>
      </c>
      <c r="N24" s="9">
        <f t="shared" si="6"/>
        <v>0.8035591036440672</v>
      </c>
      <c r="O24" s="9">
        <f t="shared" si="7"/>
        <v>0.9271454074072403</v>
      </c>
      <c r="P24" s="9">
        <f>sunrise(Location!$B$4,Location!$B$5,Location!$B$6,9,A24,Location!$B$7,IF(Location!$B$8="No",0,1))</f>
        <v>0.2979043186967592</v>
      </c>
      <c r="Q24" s="9">
        <f>sunset(Location!$B$4,Location!$B$5,Location!$B$6,9,A24,Location!$B$7,IF(Location!$B$8="No",0,1))</f>
        <v>0.8035591036440672</v>
      </c>
      <c r="R24" s="9">
        <f t="shared" si="8"/>
        <v>0.5056547849473081</v>
      </c>
      <c r="S24" s="10">
        <f t="shared" si="9"/>
        <v>0.042137898745609005</v>
      </c>
      <c r="T24" s="9">
        <f t="shared" si="10"/>
        <v>23.494345215052693</v>
      </c>
      <c r="U24" s="10">
        <f t="shared" si="11"/>
        <v>0.041195434587724324</v>
      </c>
    </row>
    <row r="25" spans="1:21" ht="12.75">
      <c r="A25" s="5">
        <v>23</v>
      </c>
      <c r="B25" s="6" t="str">
        <f t="shared" si="14"/>
        <v>Thursday</v>
      </c>
      <c r="C25" s="59"/>
      <c r="D25" s="95" t="s">
        <v>59</v>
      </c>
      <c r="E25" s="8" t="s">
        <v>36</v>
      </c>
      <c r="F25" s="6" t="s">
        <v>113</v>
      </c>
      <c r="G25" s="130"/>
      <c r="H25" s="9">
        <f t="shared" si="0"/>
        <v>12.050488129550027</v>
      </c>
      <c r="I25" s="9">
        <f t="shared" si="1"/>
        <v>6.1743809747854295</v>
      </c>
      <c r="J25" s="9">
        <f t="shared" si="2"/>
        <v>0.2982738200208319</v>
      </c>
      <c r="K25" s="9">
        <f t="shared" si="3"/>
        <v>0.42438097478543024</v>
      </c>
      <c r="L25" s="9">
        <f t="shared" si="4"/>
        <v>0.5504881295500286</v>
      </c>
      <c r="M25" s="9">
        <f t="shared" si="5"/>
        <v>0.6765952843146269</v>
      </c>
      <c r="N25" s="9">
        <f t="shared" si="6"/>
        <v>0.8027024390792252</v>
      </c>
      <c r="O25" s="9">
        <f t="shared" si="7"/>
        <v>0.9265952843146269</v>
      </c>
      <c r="P25" s="9">
        <f>sunrise(Location!$B$4,Location!$B$5,Location!$B$6,9,A25,Location!$B$7,IF(Location!$B$8="No",0,1))</f>
        <v>0.2982738200208319</v>
      </c>
      <c r="Q25" s="9">
        <f>sunset(Location!$B$4,Location!$B$5,Location!$B$6,9,A25,Location!$B$7,IF(Location!$B$8="No",0,1))</f>
        <v>0.8027024390792252</v>
      </c>
      <c r="R25" s="9">
        <f t="shared" si="8"/>
        <v>0.5044286190583933</v>
      </c>
      <c r="S25" s="10">
        <f t="shared" si="9"/>
        <v>0.04203571825486611</v>
      </c>
      <c r="T25" s="9">
        <f t="shared" si="10"/>
        <v>23.495571380941605</v>
      </c>
      <c r="U25" s="10">
        <f t="shared" si="11"/>
        <v>0.04129761507846722</v>
      </c>
    </row>
    <row r="26" spans="1:21" ht="12.75">
      <c r="A26" s="5">
        <v>24</v>
      </c>
      <c r="B26" s="6" t="str">
        <f t="shared" si="14"/>
        <v>Friday</v>
      </c>
      <c r="C26" s="59"/>
      <c r="D26" s="95" t="s">
        <v>61</v>
      </c>
      <c r="E26" s="8" t="s">
        <v>17</v>
      </c>
      <c r="F26" s="6" t="s">
        <v>114</v>
      </c>
      <c r="G26" s="130"/>
      <c r="H26" s="9">
        <f t="shared" si="0"/>
        <v>12.050246002058753</v>
      </c>
      <c r="I26" s="9">
        <f t="shared" si="1"/>
        <v>6.17444542398385</v>
      </c>
      <c r="J26" s="9">
        <f t="shared" si="2"/>
        <v>0.29864484590894724</v>
      </c>
      <c r="K26" s="9">
        <f t="shared" si="3"/>
        <v>0.42444542398385043</v>
      </c>
      <c r="L26" s="9">
        <f t="shared" si="4"/>
        <v>0.5502460020587536</v>
      </c>
      <c r="M26" s="9">
        <f t="shared" si="5"/>
        <v>0.6760465801336568</v>
      </c>
      <c r="N26" s="9">
        <f t="shared" si="6"/>
        <v>0.80184715820856</v>
      </c>
      <c r="O26" s="9">
        <f t="shared" si="7"/>
        <v>0.9260465801336568</v>
      </c>
      <c r="P26" s="9">
        <f>sunrise(Location!$B$4,Location!$B$5,Location!$B$6,9,A26,Location!$B$7,IF(Location!$B$8="No",0,1))</f>
        <v>0.29864484590894724</v>
      </c>
      <c r="Q26" s="9">
        <f>sunset(Location!$B$4,Location!$B$5,Location!$B$6,9,A26,Location!$B$7,IF(Location!$B$8="No",0,1))</f>
        <v>0.80184715820856</v>
      </c>
      <c r="R26" s="9">
        <f t="shared" si="8"/>
        <v>0.5032023122996128</v>
      </c>
      <c r="S26" s="10">
        <f t="shared" si="9"/>
        <v>0.04193352602496773</v>
      </c>
      <c r="T26" s="9">
        <f t="shared" si="10"/>
        <v>23.496797687700386</v>
      </c>
      <c r="U26" s="10">
        <f t="shared" si="11"/>
        <v>0.0413998073083656</v>
      </c>
    </row>
    <row r="27" spans="1:21" ht="12.75">
      <c r="A27" s="5">
        <v>25</v>
      </c>
      <c r="B27" s="6" t="str">
        <f t="shared" si="14"/>
        <v>Saturday</v>
      </c>
      <c r="C27" s="59"/>
      <c r="D27" s="7"/>
      <c r="E27" s="8" t="s">
        <v>21</v>
      </c>
      <c r="F27" s="6" t="s">
        <v>116</v>
      </c>
      <c r="G27" s="130"/>
      <c r="H27" s="9">
        <f t="shared" si="0"/>
        <v>12.050005563724485</v>
      </c>
      <c r="I27" s="9">
        <f t="shared" si="1"/>
        <v>6.174511555795464</v>
      </c>
      <c r="J27" s="9">
        <f t="shared" si="2"/>
        <v>0.2990175478664438</v>
      </c>
      <c r="K27" s="9">
        <f t="shared" si="3"/>
        <v>0.42451155579546374</v>
      </c>
      <c r="L27" s="9">
        <f t="shared" si="4"/>
        <v>0.5500055637244836</v>
      </c>
      <c r="M27" s="9">
        <f t="shared" si="5"/>
        <v>0.6754995716535036</v>
      </c>
      <c r="N27" s="9">
        <f t="shared" si="6"/>
        <v>0.8009935795825236</v>
      </c>
      <c r="O27" s="9">
        <f t="shared" si="7"/>
        <v>0.9254995716535036</v>
      </c>
      <c r="P27" s="9">
        <f>sunrise(Location!$B$4,Location!$B$5,Location!$B$6,9,A27,Location!$B$7,IF(Location!$B$8="No",0,1))</f>
        <v>0.2990175478664438</v>
      </c>
      <c r="Q27" s="9">
        <f>sunset(Location!$B$4,Location!$B$5,Location!$B$6,9,A27,Location!$B$7,IF(Location!$B$8="No",0,1))</f>
        <v>0.8009935795825236</v>
      </c>
      <c r="R27" s="9">
        <f t="shared" si="8"/>
        <v>0.5019760317160797</v>
      </c>
      <c r="S27" s="10">
        <f t="shared" si="9"/>
        <v>0.04183133597633998</v>
      </c>
      <c r="T27" s="9">
        <f t="shared" si="10"/>
        <v>23.49802396828392</v>
      </c>
      <c r="U27" s="10">
        <f t="shared" si="11"/>
        <v>0.04150199735699335</v>
      </c>
    </row>
    <row r="28" spans="1:21" ht="12.75">
      <c r="A28" s="5">
        <v>26</v>
      </c>
      <c r="B28" s="6" t="str">
        <f t="shared" si="14"/>
        <v>Sunday</v>
      </c>
      <c r="C28" s="59"/>
      <c r="D28" s="95" t="s">
        <v>64</v>
      </c>
      <c r="E28" s="8" t="s">
        <v>24</v>
      </c>
      <c r="F28" s="6" t="s">
        <v>117</v>
      </c>
      <c r="G28" s="134" t="s">
        <v>306</v>
      </c>
      <c r="H28" s="9">
        <f t="shared" si="0"/>
        <v>12.049767050453031</v>
      </c>
      <c r="I28" s="9">
        <f t="shared" si="1"/>
        <v>6.174579564114395</v>
      </c>
      <c r="J28" s="9">
        <f t="shared" si="2"/>
        <v>0.29939207777575866</v>
      </c>
      <c r="K28" s="9">
        <f t="shared" si="3"/>
        <v>0.42457956411439457</v>
      </c>
      <c r="L28" s="9">
        <f t="shared" si="4"/>
        <v>0.5497670504530305</v>
      </c>
      <c r="M28" s="9">
        <f t="shared" si="5"/>
        <v>0.6749545367916665</v>
      </c>
      <c r="N28" s="9">
        <f t="shared" si="6"/>
        <v>0.8001420231303025</v>
      </c>
      <c r="O28" s="9">
        <f t="shared" si="7"/>
        <v>0.9249545367916665</v>
      </c>
      <c r="P28" s="9">
        <f>sunrise(Location!$B$4,Location!$B$5,Location!$B$6,9,A28,Location!$B$7,IF(Location!$B$8="No",0,1))</f>
        <v>0.29939207777575866</v>
      </c>
      <c r="Q28" s="9">
        <f>sunset(Location!$B$4,Location!$B$5,Location!$B$6,9,A28,Location!$B$7,IF(Location!$B$8="No",0,1))</f>
        <v>0.8001420231303025</v>
      </c>
      <c r="R28" s="9">
        <f t="shared" si="8"/>
        <v>0.5007499453545439</v>
      </c>
      <c r="S28" s="10">
        <f t="shared" si="9"/>
        <v>0.04172916211287866</v>
      </c>
      <c r="T28" s="9">
        <f t="shared" si="10"/>
        <v>23.499250054645458</v>
      </c>
      <c r="U28" s="10">
        <f t="shared" si="11"/>
        <v>0.04160417122045467</v>
      </c>
    </row>
    <row r="29" spans="1:21" ht="12.75">
      <c r="A29" s="5">
        <v>27</v>
      </c>
      <c r="B29" s="6" t="str">
        <f t="shared" si="14"/>
        <v>Monday</v>
      </c>
      <c r="C29" s="59"/>
      <c r="D29" s="95" t="s">
        <v>67</v>
      </c>
      <c r="E29" s="8" t="s">
        <v>26</v>
      </c>
      <c r="F29" s="6" t="s">
        <v>118</v>
      </c>
      <c r="G29" s="130"/>
      <c r="H29" s="9">
        <f t="shared" si="0"/>
        <v>12.049530698917842</v>
      </c>
      <c r="I29" s="9">
        <f t="shared" si="1"/>
        <v>6.174649643275065</v>
      </c>
      <c r="J29" s="9">
        <f t="shared" si="2"/>
        <v>0.29976858763228764</v>
      </c>
      <c r="K29" s="9">
        <f t="shared" si="3"/>
        <v>0.424649643275064</v>
      </c>
      <c r="L29" s="9">
        <f t="shared" si="4"/>
        <v>0.5495306989178403</v>
      </c>
      <c r="M29" s="9">
        <f t="shared" si="5"/>
        <v>0.6744117545606166</v>
      </c>
      <c r="N29" s="9">
        <f t="shared" si="6"/>
        <v>0.7992928102033929</v>
      </c>
      <c r="O29" s="9">
        <f t="shared" si="7"/>
        <v>0.9244117545606166</v>
      </c>
      <c r="P29" s="9">
        <f>sunrise(Location!$B$4,Location!$B$5,Location!$B$6,9,A29,Location!$B$7,IF(Location!$B$8="No",0,1))</f>
        <v>0.29976858763228764</v>
      </c>
      <c r="Q29" s="9">
        <f>sunset(Location!$B$4,Location!$B$5,Location!$B$6,9,A29,Location!$B$7,IF(Location!$B$8="No",0,1))</f>
        <v>0.7992928102033929</v>
      </c>
      <c r="R29" s="9">
        <f t="shared" si="8"/>
        <v>0.4995242225711053</v>
      </c>
      <c r="S29" s="10">
        <f t="shared" si="9"/>
        <v>0.041627018547592105</v>
      </c>
      <c r="T29" s="9">
        <f t="shared" si="10"/>
        <v>23.500475777428896</v>
      </c>
      <c r="U29" s="10">
        <f t="shared" si="11"/>
        <v>0.04170631478574122</v>
      </c>
    </row>
    <row r="30" spans="1:21" ht="12.75">
      <c r="A30" s="5">
        <v>28</v>
      </c>
      <c r="B30" s="6" t="str">
        <f t="shared" si="14"/>
        <v>Tuesday</v>
      </c>
      <c r="C30" s="59"/>
      <c r="D30" s="95" t="s">
        <v>69</v>
      </c>
      <c r="E30" s="8" t="s">
        <v>29</v>
      </c>
      <c r="F30" s="6" t="s">
        <v>119</v>
      </c>
      <c r="G30" s="130"/>
      <c r="H30" s="9">
        <f t="shared" si="0"/>
        <v>12.049296746442907</v>
      </c>
      <c r="I30" s="9">
        <f t="shared" si="1"/>
        <v>6.174721987858743</v>
      </c>
      <c r="J30" s="9">
        <f t="shared" si="2"/>
        <v>0.30014722927457804</v>
      </c>
      <c r="K30" s="9">
        <f t="shared" si="3"/>
        <v>0.42472198785874277</v>
      </c>
      <c r="L30" s="9">
        <f t="shared" si="4"/>
        <v>0.5492967464429075</v>
      </c>
      <c r="M30" s="9">
        <f t="shared" si="5"/>
        <v>0.6738715050270722</v>
      </c>
      <c r="N30" s="9">
        <f t="shared" si="6"/>
        <v>0.7984462636112368</v>
      </c>
      <c r="O30" s="9">
        <f t="shared" si="7"/>
        <v>0.923871505027072</v>
      </c>
      <c r="P30" s="9">
        <f>sunrise(Location!$B$4,Location!$B$5,Location!$B$6,9,A30,Location!$B$7,IF(Location!$B$8="No",0,1))</f>
        <v>0.30014722927457804</v>
      </c>
      <c r="Q30" s="9">
        <f>sunset(Location!$B$4,Location!$B$5,Location!$B$6,9,A30,Location!$B$7,IF(Location!$B$8="No",0,1))</f>
        <v>0.7984462636112368</v>
      </c>
      <c r="R30" s="9">
        <f t="shared" si="8"/>
        <v>0.4982990343366588</v>
      </c>
      <c r="S30" s="10">
        <f t="shared" si="9"/>
        <v>0.0415249195280549</v>
      </c>
      <c r="T30" s="9">
        <f t="shared" si="10"/>
        <v>23.501700965663343</v>
      </c>
      <c r="U30" s="10">
        <f t="shared" si="11"/>
        <v>0.04180841380527843</v>
      </c>
    </row>
    <row r="31" spans="1:21" ht="12.75">
      <c r="A31" s="5">
        <v>29</v>
      </c>
      <c r="B31" s="6" t="str">
        <f>B3</f>
        <v>Wednesday</v>
      </c>
      <c r="C31" s="59"/>
      <c r="D31" s="7"/>
      <c r="E31" s="8" t="s">
        <v>32</v>
      </c>
      <c r="F31" s="6" t="s">
        <v>120</v>
      </c>
      <c r="G31" s="45" t="s">
        <v>238</v>
      </c>
      <c r="H31" s="9">
        <f t="shared" si="0"/>
        <v>12.049065430876576</v>
      </c>
      <c r="I31" s="9">
        <f t="shared" si="1"/>
        <v>6.174796792490366</v>
      </c>
      <c r="J31" s="9">
        <f t="shared" si="2"/>
        <v>0.3005281541041562</v>
      </c>
      <c r="K31" s="9">
        <f t="shared" si="3"/>
        <v>0.4247967924903665</v>
      </c>
      <c r="L31" s="9">
        <f t="shared" si="4"/>
        <v>0.5490654308765768</v>
      </c>
      <c r="M31" s="9">
        <f t="shared" si="5"/>
        <v>0.6733340692627872</v>
      </c>
      <c r="N31" s="9">
        <f t="shared" si="6"/>
        <v>0.7976027076489974</v>
      </c>
      <c r="O31" s="9">
        <f t="shared" si="7"/>
        <v>0.9233340692627872</v>
      </c>
      <c r="P31" s="9">
        <f>sunrise(Location!$B$4,Location!$B$5,Location!$B$6,9,A31,Location!$B$7,IF(Location!$B$8="No",0,1))</f>
        <v>0.3005281541041562</v>
      </c>
      <c r="Q31" s="9">
        <f>sunset(Location!$B$4,Location!$B$5,Location!$B$6,9,A31,Location!$B$7,IF(Location!$B$8="No",0,1))</f>
        <v>0.7976027076489974</v>
      </c>
      <c r="R31" s="9">
        <f t="shared" si="8"/>
        <v>0.49707455354484126</v>
      </c>
      <c r="S31" s="10">
        <f t="shared" si="9"/>
        <v>0.04142287946207011</v>
      </c>
      <c r="T31" s="9">
        <f t="shared" si="10"/>
        <v>23.50292544645516</v>
      </c>
      <c r="U31" s="10">
        <f t="shared" si="11"/>
        <v>0.04191045387126322</v>
      </c>
    </row>
    <row r="32" spans="1:21" ht="12.75">
      <c r="A32" s="5">
        <v>30</v>
      </c>
      <c r="B32" s="6" t="str">
        <f>B4</f>
        <v>Thursday</v>
      </c>
      <c r="C32" s="59"/>
      <c r="D32" s="95" t="s">
        <v>72</v>
      </c>
      <c r="E32" s="8" t="s">
        <v>36</v>
      </c>
      <c r="F32" s="6" t="s">
        <v>78</v>
      </c>
      <c r="G32" s="48" t="s">
        <v>146</v>
      </c>
      <c r="H32" s="9">
        <f t="shared" si="0"/>
        <v>12.048836990459233</v>
      </c>
      <c r="I32" s="9">
        <f t="shared" si="1"/>
        <v>6.174874251628875</v>
      </c>
      <c r="J32" s="9">
        <f t="shared" si="2"/>
        <v>0.30091151279851774</v>
      </c>
      <c r="K32" s="9">
        <f t="shared" si="3"/>
        <v>0.4248742516288757</v>
      </c>
      <c r="L32" s="9">
        <f t="shared" si="4"/>
        <v>0.5488369904592337</v>
      </c>
      <c r="M32" s="9">
        <f t="shared" si="5"/>
        <v>0.6727997292895918</v>
      </c>
      <c r="N32" s="9">
        <f t="shared" si="6"/>
        <v>0.7967624681199498</v>
      </c>
      <c r="O32" s="9">
        <f t="shared" si="7"/>
        <v>0.9227997292895918</v>
      </c>
      <c r="P32" s="9">
        <f>sunrise(Location!$B$4,Location!$B$5,Location!$B$6,9,A32,Location!$B$7,IF(Location!$B$8="No",0,1))</f>
        <v>0.30091151279851774</v>
      </c>
      <c r="Q32" s="9">
        <f>sunset(Location!$B$4,Location!$B$5,Location!$B$6,9,A32,Location!$B$7,IF(Location!$B$8="No",0,1))</f>
        <v>0.7967624681199498</v>
      </c>
      <c r="R32" s="9">
        <f t="shared" si="8"/>
        <v>0.49585095532143203</v>
      </c>
      <c r="S32" s="10">
        <f t="shared" si="9"/>
        <v>0.04132091294345267</v>
      </c>
      <c r="T32" s="9">
        <f t="shared" si="10"/>
        <v>23.504149044678567</v>
      </c>
      <c r="U32" s="10">
        <f t="shared" si="11"/>
        <v>0.04201242038988066</v>
      </c>
    </row>
    <row r="33" spans="2:5" ht="12.75">
      <c r="B33" s="6"/>
      <c r="E33" s="11"/>
    </row>
    <row r="34" spans="2:5" ht="12.75">
      <c r="B34" s="6"/>
      <c r="E34" s="13"/>
    </row>
    <row r="35" spans="1:5" ht="12.75">
      <c r="A35" s="6"/>
      <c r="E35" s="13"/>
    </row>
    <row r="36" spans="2:5" ht="12.75">
      <c r="B36" s="6"/>
      <c r="E36" s="13"/>
    </row>
    <row r="37" spans="2:5" ht="12.75">
      <c r="B37" s="6"/>
      <c r="C37" s="58" t="str">
        <f>IF(Location!B9="No",Location!C13,Location!C14)</f>
        <v>C</v>
      </c>
      <c r="D37" s="53"/>
      <c r="E37" s="52"/>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Washington</dc:creator>
  <cp:keywords/>
  <dc:description/>
  <cp:lastModifiedBy>Keith E Brandt</cp:lastModifiedBy>
  <cp:lastPrinted>2007-11-12T04:23:42Z</cp:lastPrinted>
  <dcterms:created xsi:type="dcterms:W3CDTF">2002-04-28T23:13:29Z</dcterms:created>
  <dcterms:modified xsi:type="dcterms:W3CDTF">2010-07-11T20:45:07Z</dcterms:modified>
  <cp:category/>
  <cp:version/>
  <cp:contentType/>
  <cp:contentStatus/>
</cp:coreProperties>
</file>