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900" windowHeight="9840" tabRatio="823" activeTab="0"/>
  </bookViews>
  <sheets>
    <sheet name="Ianuarius" sheetId="1" r:id="rId1"/>
    <sheet name="Februaris" sheetId="2" r:id="rId2"/>
    <sheet name="Martius" sheetId="3" r:id="rId3"/>
    <sheet name="Aprilis" sheetId="4" r:id="rId4"/>
    <sheet name="Maius" sheetId="5" r:id="rId5"/>
    <sheet name="Iunius" sheetId="6" r:id="rId6"/>
    <sheet name="Iulius" sheetId="7" r:id="rId7"/>
    <sheet name="Augustus" sheetId="8" r:id="rId8"/>
    <sheet name="September" sheetId="9" r:id="rId9"/>
    <sheet name="October" sheetId="10" r:id="rId10"/>
    <sheet name="November" sheetId="11" r:id="rId11"/>
    <sheet name="December" sheetId="12" r:id="rId12"/>
    <sheet name="Fixed Feasts" sheetId="13" r:id="rId13"/>
    <sheet name="Movable Feasts" sheetId="14" r:id="rId14"/>
    <sheet name="Location" sheetId="15" r:id="rId15"/>
    <sheet name="Information" sheetId="16" r:id="rId16"/>
    <sheet name="Credits" sheetId="17" r:id="rId17"/>
  </sheets>
  <definedNames>
    <definedName name="_xlnm.Print_Area" localSheetId="3">'Aprilis'!$A$1:$U$32</definedName>
    <definedName name="_xlnm.Print_Area" localSheetId="7">'Augustus'!$A$1:$U$33</definedName>
    <definedName name="_xlnm.Print_Area" localSheetId="11">'December'!$A$1:$U$33</definedName>
    <definedName name="_xlnm.Print_Area" localSheetId="1">'Februaris'!$A$1:$U$30</definedName>
    <definedName name="_xlnm.Print_Area" localSheetId="0">'Ianuarius'!$A$1:$U$33</definedName>
    <definedName name="_xlnm.Print_Area" localSheetId="6">'Iulius'!$A$1:$U$33</definedName>
    <definedName name="_xlnm.Print_Area" localSheetId="5">'Iunius'!$A$1:$U$32</definedName>
    <definedName name="_xlnm.Print_Area" localSheetId="4">'Maius'!$A$1:$U$33</definedName>
    <definedName name="_xlnm.Print_Area" localSheetId="2">'Martius'!$A$1:$U$33</definedName>
    <definedName name="_xlnm.Print_Area" localSheetId="10">'November'!$A$1:$U$32</definedName>
    <definedName name="_xlnm.Print_Area" localSheetId="9">'October'!$A$1:$U$33</definedName>
    <definedName name="_xlnm.Print_Area" localSheetId="8">'September'!$A$1:$U$32</definedName>
  </definedNames>
  <calcPr fullCalcOnLoad="1"/>
</workbook>
</file>

<file path=xl/comments14.xml><?xml version="1.0" encoding="utf-8"?>
<comments xmlns="http://schemas.openxmlformats.org/spreadsheetml/2006/main">
  <authors>
    <author>Keith E. Brandt</author>
  </authors>
  <commentList>
    <comment ref="B2" authorId="0">
      <text>
        <r>
          <rPr>
            <sz val="8"/>
            <rFont val="Tahoma"/>
            <family val="2"/>
          </rPr>
          <t xml:space="preserve">The Tuesday prior to Ash Wednesday
</t>
        </r>
      </text>
    </comment>
    <comment ref="B3" authorId="0">
      <text>
        <r>
          <rPr>
            <sz val="8"/>
            <rFont val="Tahoma"/>
            <family val="2"/>
          </rPr>
          <t>46 Days before Easter. The beginning of Lent</t>
        </r>
        <r>
          <rPr>
            <sz val="8"/>
            <rFont val="Tahoma"/>
            <family val="2"/>
          </rPr>
          <t xml:space="preserve">
</t>
        </r>
      </text>
    </comment>
    <comment ref="B7" authorId="0">
      <text>
        <r>
          <rPr>
            <sz val="8"/>
            <rFont val="Tahoma"/>
            <family val="2"/>
          </rPr>
          <t>The Sunday before Easter</t>
        </r>
        <r>
          <rPr>
            <sz val="8"/>
            <rFont val="Tahoma"/>
            <family val="2"/>
          </rPr>
          <t xml:space="preserve">
</t>
        </r>
      </text>
    </comment>
    <comment ref="B8" authorId="0">
      <text>
        <r>
          <rPr>
            <sz val="8"/>
            <rFont val="Tahoma"/>
            <family val="2"/>
          </rPr>
          <t xml:space="preserve">Thursday in Holy Week
</t>
        </r>
      </text>
    </comment>
    <comment ref="B9" authorId="0">
      <text>
        <r>
          <rPr>
            <sz val="8"/>
            <rFont val="Tahoma"/>
            <family val="2"/>
          </rPr>
          <t>The Friday before Easter.</t>
        </r>
        <r>
          <rPr>
            <sz val="8"/>
            <rFont val="Tahoma"/>
            <family val="2"/>
          </rPr>
          <t xml:space="preserve">
The crucifixion</t>
        </r>
      </text>
    </comment>
    <comment ref="B10" authorId="0">
      <text>
        <r>
          <rPr>
            <sz val="8"/>
            <rFont val="Tahoma"/>
            <family val="2"/>
          </rPr>
          <t>He is Risen!</t>
        </r>
        <r>
          <rPr>
            <sz val="8"/>
            <rFont val="Tahoma"/>
            <family val="2"/>
          </rPr>
          <t xml:space="preserve">
</t>
        </r>
      </text>
    </comment>
    <comment ref="B14" authorId="0">
      <text>
        <r>
          <rPr>
            <sz val="8"/>
            <rFont val="Tahoma"/>
            <family val="2"/>
          </rPr>
          <t>10 days before Whitsunday</t>
        </r>
        <r>
          <rPr>
            <sz val="8"/>
            <rFont val="Tahoma"/>
            <family val="2"/>
          </rPr>
          <t xml:space="preserve">
</t>
        </r>
      </text>
    </comment>
    <comment ref="B15" authorId="0">
      <text>
        <r>
          <rPr>
            <sz val="8"/>
            <rFont val="Tahoma"/>
            <family val="2"/>
          </rPr>
          <t>The 50th day after Easter</t>
        </r>
        <r>
          <rPr>
            <sz val="8"/>
            <rFont val="Tahoma"/>
            <family val="2"/>
          </rPr>
          <t xml:space="preserve">
(inclusive counting)</t>
        </r>
      </text>
    </comment>
    <comment ref="B19" authorId="0">
      <text>
        <r>
          <rPr>
            <sz val="8"/>
            <rFont val="Tahoma"/>
            <family val="2"/>
          </rPr>
          <t>The Sunday following Whitsunday</t>
        </r>
        <r>
          <rPr>
            <sz val="8"/>
            <rFont val="Tahoma"/>
            <family val="2"/>
          </rPr>
          <t xml:space="preserve">
</t>
        </r>
      </text>
    </comment>
    <comment ref="B20" authorId="0">
      <text>
        <r>
          <rPr>
            <sz val="8"/>
            <rFont val="Tahoma"/>
            <family val="2"/>
          </rPr>
          <t>12 Days after Whitsunday (inclusive counting)</t>
        </r>
        <r>
          <rPr>
            <sz val="8"/>
            <rFont val="Tahoma"/>
            <family val="2"/>
          </rPr>
          <t xml:space="preserve">
</t>
        </r>
      </text>
    </comment>
    <comment ref="B24" authorId="0">
      <text>
        <r>
          <rPr>
            <sz val="8"/>
            <rFont val="Tahoma"/>
            <family val="2"/>
          </rPr>
          <t xml:space="preserve">4th Sunday before Christmas
</t>
        </r>
      </text>
    </comment>
  </commentList>
</comments>
</file>

<file path=xl/sharedStrings.xml><?xml version="1.0" encoding="utf-8"?>
<sst xmlns="http://schemas.openxmlformats.org/spreadsheetml/2006/main" count="1464" uniqueCount="334">
  <si>
    <t>Date</t>
  </si>
  <si>
    <t>Day of Week</t>
  </si>
  <si>
    <t>Feast</t>
  </si>
  <si>
    <t>Matins</t>
  </si>
  <si>
    <t>Lauds</t>
  </si>
  <si>
    <t>Prime</t>
  </si>
  <si>
    <t>Terce</t>
  </si>
  <si>
    <t>Sexts</t>
  </si>
  <si>
    <t xml:space="preserve">Nones </t>
  </si>
  <si>
    <t>Vespers</t>
  </si>
  <si>
    <t>Compline</t>
  </si>
  <si>
    <t>Sunrise</t>
  </si>
  <si>
    <t>Sunset</t>
  </si>
  <si>
    <t>Day Len</t>
  </si>
  <si>
    <t>Day Hour</t>
  </si>
  <si>
    <t>Night Len</t>
  </si>
  <si>
    <t>Night Hour</t>
  </si>
  <si>
    <t>A</t>
  </si>
  <si>
    <t>Kalends</t>
  </si>
  <si>
    <t>Circumcision DNIC</t>
  </si>
  <si>
    <t>xi</t>
  </si>
  <si>
    <t>B</t>
  </si>
  <si>
    <t>a.d. iv Nones</t>
  </si>
  <si>
    <t>xix</t>
  </si>
  <si>
    <t>C</t>
  </si>
  <si>
    <t>a.d. iii Nones</t>
  </si>
  <si>
    <t>D</t>
  </si>
  <si>
    <t>prid. Nones</t>
  </si>
  <si>
    <t>viii</t>
  </si>
  <si>
    <t>E</t>
  </si>
  <si>
    <t>Nones</t>
  </si>
  <si>
    <t>St Edward the Confessor</t>
  </si>
  <si>
    <t>F</t>
  </si>
  <si>
    <t>a.d. viii Ides</t>
  </si>
  <si>
    <t>Epiphany</t>
  </si>
  <si>
    <t>xvi</t>
  </si>
  <si>
    <t>G</t>
  </si>
  <si>
    <t>a.d. vii Ides</t>
  </si>
  <si>
    <t>v</t>
  </si>
  <si>
    <t>a.d. vi Ides</t>
  </si>
  <si>
    <t>xiii</t>
  </si>
  <si>
    <t>a.d. v Ides</t>
  </si>
  <si>
    <t>ii</t>
  </si>
  <si>
    <t>a.d. iv Ides</t>
  </si>
  <si>
    <t>a.d. iii Ides</t>
  </si>
  <si>
    <t>x</t>
  </si>
  <si>
    <t>prid. Ides</t>
  </si>
  <si>
    <t>Ides</t>
  </si>
  <si>
    <t>xviii</t>
  </si>
  <si>
    <t xml:space="preserve">a.d. xix Kal </t>
  </si>
  <si>
    <t>vii</t>
  </si>
  <si>
    <t>a.d. xviii Kal</t>
  </si>
  <si>
    <t xml:space="preserve">a.d. xvii Kal </t>
  </si>
  <si>
    <t>xv</t>
  </si>
  <si>
    <t>a.d. xvi Kal</t>
  </si>
  <si>
    <t>iv</t>
  </si>
  <si>
    <t>a.d. xv Kal</t>
  </si>
  <si>
    <t>a.d. xiv Kal</t>
  </si>
  <si>
    <t>Wulfstan</t>
  </si>
  <si>
    <t>xii</t>
  </si>
  <si>
    <t>a.d. xiii Kal</t>
  </si>
  <si>
    <t>i</t>
  </si>
  <si>
    <t>a.d. xii Kal</t>
  </si>
  <si>
    <t>a.d. xi Kal</t>
  </si>
  <si>
    <t>ix</t>
  </si>
  <si>
    <t>a.d. x Kal</t>
  </si>
  <si>
    <t>a.d. ix Kal</t>
  </si>
  <si>
    <t>xvii</t>
  </si>
  <si>
    <t>a.d. viii Kal</t>
  </si>
  <si>
    <t>vi</t>
  </si>
  <si>
    <t>a.d. vii Kal</t>
  </si>
  <si>
    <t>a.d. vi Kal</t>
  </si>
  <si>
    <t>xiv</t>
  </si>
  <si>
    <t>a.d. v Kal</t>
  </si>
  <si>
    <t>Thomas Aquinas</t>
  </si>
  <si>
    <t>iii</t>
  </si>
  <si>
    <t>a.d. iv Kal</t>
  </si>
  <si>
    <t>a.d. iii Kal</t>
  </si>
  <si>
    <t>Prid. Kal</t>
  </si>
  <si>
    <t>Presentaton of our Lord/Candlemas</t>
  </si>
  <si>
    <t>Valentine</t>
  </si>
  <si>
    <t>Wulfric</t>
  </si>
  <si>
    <t>St. Matthias the Apostle</t>
  </si>
  <si>
    <t>Ash Wednesday</t>
  </si>
  <si>
    <t>Location Name:</t>
  </si>
  <si>
    <t>Latitude:</t>
  </si>
  <si>
    <t>Longitude</t>
  </si>
  <si>
    <t>Year</t>
  </si>
  <si>
    <t>Time Zone</t>
  </si>
  <si>
    <t xml:space="preserve">David </t>
  </si>
  <si>
    <t>vi Nones</t>
  </si>
  <si>
    <t>Chad</t>
  </si>
  <si>
    <t>v Nones</t>
  </si>
  <si>
    <t>iv Nones</t>
  </si>
  <si>
    <t>iii Nones</t>
  </si>
  <si>
    <t>viii Ides</t>
  </si>
  <si>
    <t>vii Ides</t>
  </si>
  <si>
    <t>vi Ides</t>
  </si>
  <si>
    <t>v Ides</t>
  </si>
  <si>
    <t>iv Ides</t>
  </si>
  <si>
    <t>Gregory the Great</t>
  </si>
  <si>
    <t>iii Ides</t>
  </si>
  <si>
    <t xml:space="preserve">xvii Kal </t>
  </si>
  <si>
    <t>xvi Kal</t>
  </si>
  <si>
    <t>Patrick</t>
  </si>
  <si>
    <t>xv Kal</t>
  </si>
  <si>
    <t>Edward, King of Wessex</t>
  </si>
  <si>
    <t>xiv Kal</t>
  </si>
  <si>
    <t>xiii Kal</t>
  </si>
  <si>
    <t>Cuthbert</t>
  </si>
  <si>
    <t>xii Kal</t>
  </si>
  <si>
    <t>xi Kal</t>
  </si>
  <si>
    <t>x Kal</t>
  </si>
  <si>
    <t>ix Kal</t>
  </si>
  <si>
    <t>viii Kal</t>
  </si>
  <si>
    <t>Annunciation (Lady Day)</t>
  </si>
  <si>
    <t>vii Kal</t>
  </si>
  <si>
    <t>vi Kal</t>
  </si>
  <si>
    <t>v Kal</t>
  </si>
  <si>
    <t>iv Kal</t>
  </si>
  <si>
    <t>iii Kal</t>
  </si>
  <si>
    <t>Richard of Chinhester</t>
  </si>
  <si>
    <t>Easter</t>
  </si>
  <si>
    <t>xviii Kal</t>
  </si>
  <si>
    <t>Good Friday</t>
  </si>
  <si>
    <t>Alphege</t>
  </si>
  <si>
    <t>Anselm</t>
  </si>
  <si>
    <t>George of England</t>
  </si>
  <si>
    <t>Beltaine, St Philip and St James</t>
  </si>
  <si>
    <t>Invention of the Holy Cross (Rood Day)</t>
  </si>
  <si>
    <t>Venerable Bede</t>
  </si>
  <si>
    <t>Visitation of the BVM</t>
  </si>
  <si>
    <t>Day Hr</t>
  </si>
  <si>
    <t>Night Hr</t>
  </si>
  <si>
    <t>Justin Martyr</t>
  </si>
  <si>
    <t>Columba</t>
  </si>
  <si>
    <t>Basil</t>
  </si>
  <si>
    <t>Alban</t>
  </si>
  <si>
    <t>Midsummer's Eve</t>
  </si>
  <si>
    <t>Nativity of John the Baptist</t>
  </si>
  <si>
    <t>Irenaeus</t>
  </si>
  <si>
    <t>Transfiguration</t>
  </si>
  <si>
    <t xml:space="preserve">xix Kal </t>
  </si>
  <si>
    <t>Bernard of Clairvaux</t>
  </si>
  <si>
    <t>Aidan</t>
  </si>
  <si>
    <t>Nativity BVM</t>
  </si>
  <si>
    <t>Exaltation of the Holy Cross</t>
  </si>
  <si>
    <t>Jerome</t>
  </si>
  <si>
    <t>Samhain, All Saints Day</t>
  </si>
  <si>
    <t>Edmund</t>
  </si>
  <si>
    <t>Nicholas</t>
  </si>
  <si>
    <t>Conception BVM</t>
  </si>
  <si>
    <t>Nativity of Christ</t>
  </si>
  <si>
    <t>Holy Innocents</t>
  </si>
  <si>
    <t>Becket</t>
  </si>
  <si>
    <r>
      <t>IMPORTANT:</t>
    </r>
    <r>
      <rPr>
        <b/>
        <sz val="10"/>
        <rFont val="Arial"/>
        <family val="2"/>
      </rPr>
      <t xml:space="preserve"> For the calendar to work correctly for your location, the following information must be</t>
    </r>
  </si>
  <si>
    <t xml:space="preserve">Just for reference so you don't forget. </t>
  </si>
  <si>
    <t>Format is XX.XXXX. Positive for Northern Hemisphere</t>
  </si>
  <si>
    <t>Palm Sunday</t>
  </si>
  <si>
    <t>Format is XXX.XXXX. Negative for Western Hemisphere</t>
  </si>
  <si>
    <t>Offset of your standard time zone from UTC. ET is -5, CT is -6, MT is -7, PT is -8</t>
  </si>
  <si>
    <t>The Golden Number is</t>
  </si>
  <si>
    <t>Lat/Long format converter</t>
  </si>
  <si>
    <t>Minutes</t>
  </si>
  <si>
    <t>Seconds</t>
  </si>
  <si>
    <t>XX.XXX</t>
  </si>
  <si>
    <t>Degrees</t>
  </si>
  <si>
    <t>The Dominical Letter is</t>
  </si>
  <si>
    <t>Houston, TX</t>
  </si>
  <si>
    <t>Ianuarius A.D.</t>
  </si>
  <si>
    <t>Februaris A.D.</t>
  </si>
  <si>
    <t>December A.D.</t>
  </si>
  <si>
    <t>November A.D.</t>
  </si>
  <si>
    <t>October A.D.</t>
  </si>
  <si>
    <t>September A.D.</t>
  </si>
  <si>
    <t>Augustus A.D.</t>
  </si>
  <si>
    <t>Iulius A.D.</t>
  </si>
  <si>
    <t>Iunius A.D.</t>
  </si>
  <si>
    <t>Maius A.D.</t>
  </si>
  <si>
    <t>Aprilis A.D.</t>
  </si>
  <si>
    <t>Martius A.D.</t>
  </si>
  <si>
    <t>Leap year?</t>
  </si>
  <si>
    <t>January</t>
  </si>
  <si>
    <t>February</t>
  </si>
  <si>
    <t>Timothy and Titus</t>
  </si>
  <si>
    <t>Imbolc, Brigid</t>
  </si>
  <si>
    <t>Ethelbert</t>
  </si>
  <si>
    <t>March</t>
  </si>
  <si>
    <t>Benedict</t>
  </si>
  <si>
    <t>April</t>
  </si>
  <si>
    <t>May</t>
  </si>
  <si>
    <t>September</t>
  </si>
  <si>
    <t>June</t>
  </si>
  <si>
    <t>Vitus</t>
  </si>
  <si>
    <t>July</t>
  </si>
  <si>
    <t>August</t>
  </si>
  <si>
    <t>Lammas</t>
  </si>
  <si>
    <t>October</t>
  </si>
  <si>
    <t>November</t>
  </si>
  <si>
    <t>December</t>
  </si>
  <si>
    <t>Shrove Tuesday</t>
  </si>
  <si>
    <t>Maundy Thursday</t>
  </si>
  <si>
    <t>Ascension</t>
  </si>
  <si>
    <t>Trinity Sunday</t>
  </si>
  <si>
    <t>Corpus Christi</t>
  </si>
  <si>
    <t>Movable Feasts of the Church for A.D.</t>
  </si>
  <si>
    <t>Easter is</t>
  </si>
  <si>
    <t>Observe DST?</t>
  </si>
  <si>
    <t>Yes</t>
  </si>
  <si>
    <t>Boniface</t>
  </si>
  <si>
    <t>Whitsunday (Pentecost)</t>
  </si>
  <si>
    <t>First Sunday in Advent</t>
  </si>
  <si>
    <t>Ember Day</t>
  </si>
  <si>
    <t>Lucia</t>
  </si>
  <si>
    <t>Rogation Day</t>
  </si>
  <si>
    <t>Full 4-digit year (Calendar valid 1900 - 2099 only!)</t>
  </si>
  <si>
    <t>properly entered. It is used to calculate the sunrise and sunset and movable feasts.</t>
  </si>
  <si>
    <t xml:space="preserve"> </t>
  </si>
  <si>
    <t>Augustine of Hippo</t>
  </si>
  <si>
    <t>Martinmas</t>
  </si>
  <si>
    <t>Barnabas the Apostle</t>
  </si>
  <si>
    <t>Peter and Paul</t>
  </si>
  <si>
    <t>Mary Magdalene</t>
  </si>
  <si>
    <t>James the Apostle</t>
  </si>
  <si>
    <t>Mary the Virgin</t>
  </si>
  <si>
    <t>Bartholomew the Apostle</t>
  </si>
  <si>
    <t>Matthew</t>
  </si>
  <si>
    <t>Francis of Assisi</t>
  </si>
  <si>
    <t>Luke</t>
  </si>
  <si>
    <t>James of Jerusalem</t>
  </si>
  <si>
    <t>Andrew</t>
  </si>
  <si>
    <t>Thomas the Apostle</t>
  </si>
  <si>
    <t>Stephen</t>
  </si>
  <si>
    <t>John, Apostle and Evangelist</t>
  </si>
  <si>
    <t>Edward the Confessor</t>
  </si>
  <si>
    <t>Conversion of Paul</t>
  </si>
  <si>
    <t>Matthias the Apostle</t>
  </si>
  <si>
    <t>Joseph</t>
  </si>
  <si>
    <t>Mark the Evangelist</t>
  </si>
  <si>
    <t>Dunstan</t>
  </si>
  <si>
    <t>Augustine of Canterbury</t>
  </si>
  <si>
    <t>Michael and all Angels</t>
  </si>
  <si>
    <t>Simon and Jude</t>
  </si>
  <si>
    <t>Enter No if your area doesn't observe Daylight Saving Time (e.g., Hawaii)</t>
  </si>
  <si>
    <t>Mark the Evangelist? Rogation Day</t>
  </si>
  <si>
    <t>Beltaine, Philip and James</t>
  </si>
  <si>
    <t>First celebrated 11th century</t>
  </si>
  <si>
    <t>Canonized 1161</t>
  </si>
  <si>
    <t>Hillary</t>
  </si>
  <si>
    <t>Thus the 'Hillary Term' in colleges</t>
  </si>
  <si>
    <t>Paul the Hermit</t>
  </si>
  <si>
    <t>Consistant after 5th century</t>
  </si>
  <si>
    <t xml:space="preserve">d. 345 </t>
  </si>
  <si>
    <t>Confession of Peter</t>
  </si>
  <si>
    <t>6h or 7th c. Also 'Peter's Chair in Rome'</t>
  </si>
  <si>
    <t>d c 1095</t>
  </si>
  <si>
    <t>Fabian</t>
  </si>
  <si>
    <t xml:space="preserve">d 250, Pope and Martyr </t>
  </si>
  <si>
    <t>Agnes</t>
  </si>
  <si>
    <t>d 301</t>
  </si>
  <si>
    <t>Vincent</t>
  </si>
  <si>
    <t>d 304</t>
  </si>
  <si>
    <t>d 1274</t>
  </si>
  <si>
    <t xml:space="preserve">a.d. xvi Kal </t>
  </si>
  <si>
    <t>II S. af Christmas</t>
  </si>
  <si>
    <t>I S. af Epiphany - Baptism DNIC</t>
  </si>
  <si>
    <t>II S af Epiphany</t>
  </si>
  <si>
    <t>Conversion of Paul (t)</t>
  </si>
  <si>
    <t>III S. af Epiphany</t>
  </si>
  <si>
    <t>IV S. af Epiphany; Imbolc, Brigid</t>
  </si>
  <si>
    <t>V S. af Epiphany</t>
  </si>
  <si>
    <t>VI S. af Epiphany</t>
  </si>
  <si>
    <t>Last S. af Epiphany</t>
  </si>
  <si>
    <t>I S. in Lent</t>
  </si>
  <si>
    <t>II S I Lent</t>
  </si>
  <si>
    <t>III S in Lent</t>
  </si>
  <si>
    <t>IV S in Lent</t>
  </si>
  <si>
    <t>V S in Lent</t>
  </si>
  <si>
    <t>Monday in Holy Week</t>
  </si>
  <si>
    <t>Tuesday in Holy Week</t>
  </si>
  <si>
    <t>Wednesday in Holy Week</t>
  </si>
  <si>
    <t>Holy Saturday</t>
  </si>
  <si>
    <t>Monday in Easter Week</t>
  </si>
  <si>
    <t>Tuesday in Easter Week</t>
  </si>
  <si>
    <t>Wednesday in Easter Week</t>
  </si>
  <si>
    <t>Thursday in Easter Week</t>
  </si>
  <si>
    <t>Friday in Easter Week</t>
  </si>
  <si>
    <t>Alphege (t)</t>
  </si>
  <si>
    <t>Saturday in Easter Week</t>
  </si>
  <si>
    <t>II Sunday of Easter</t>
  </si>
  <si>
    <t>III Sunday of Easter</t>
  </si>
  <si>
    <t>Invention of the Holy Cross (Rood Day) (t)</t>
  </si>
  <si>
    <t>IV Sunday of Easter</t>
  </si>
  <si>
    <t>V Sunday of Easter</t>
  </si>
  <si>
    <t>VI Sunday of Easter</t>
  </si>
  <si>
    <t>VII Sunday of Easter</t>
  </si>
  <si>
    <t>Whitsunday</t>
  </si>
  <si>
    <t>Boniface (Ember Day)</t>
  </si>
  <si>
    <t>Basil (t)</t>
  </si>
  <si>
    <t>II Sun af Pentecost</t>
  </si>
  <si>
    <t>III Sun af Pentecost</t>
  </si>
  <si>
    <t>IV Sun af Pentecost</t>
  </si>
  <si>
    <t>V Sun af Pentecost</t>
  </si>
  <si>
    <t>VI Sun af Pentecost</t>
  </si>
  <si>
    <t>VII Sun af Pentecost</t>
  </si>
  <si>
    <t>VIII Sun af Pentecost</t>
  </si>
  <si>
    <t>IX Sun af Pentecost</t>
  </si>
  <si>
    <t>X Sun af Pentecost</t>
  </si>
  <si>
    <t>XI Sun af Pentecost</t>
  </si>
  <si>
    <t>XII Sun af Pentecost</t>
  </si>
  <si>
    <t>XIII Sun af Pentecost</t>
  </si>
  <si>
    <t>XIV Sun af Pentecost</t>
  </si>
  <si>
    <t>XV Sun af Pentecost</t>
  </si>
  <si>
    <t>XVI Sun af Pentecost</t>
  </si>
  <si>
    <t>XVII Sun af Pentecost</t>
  </si>
  <si>
    <t>Luke (t)</t>
  </si>
  <si>
    <t>XVIII Sun af Pentecost</t>
  </si>
  <si>
    <t>XIX Sun af Pentecost</t>
  </si>
  <si>
    <t>XX Sun af Pentecost</t>
  </si>
  <si>
    <t>XXI Sun af Pentecost</t>
  </si>
  <si>
    <t>All Souls</t>
  </si>
  <si>
    <t>XXIII Sun af Pentecost</t>
  </si>
  <si>
    <t>XXIV Sun af Pentecost</t>
  </si>
  <si>
    <t>I Advent</t>
  </si>
  <si>
    <t>II Advent</t>
  </si>
  <si>
    <t>III Advent</t>
  </si>
  <si>
    <t>IV Advent</t>
  </si>
  <si>
    <t>John, Apostle and Evangelist (I Xmas)</t>
  </si>
  <si>
    <t>Nicholas (t)</t>
  </si>
  <si>
    <t>Lucia (t)</t>
  </si>
  <si>
    <t xml:space="preserve">Ascension </t>
  </si>
  <si>
    <t>Barnabas the Apostle (t)</t>
  </si>
  <si>
    <t>Francis of Assisi (t)</t>
  </si>
  <si>
    <t>Christ the King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</si>
</sst>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409]dddd\,\ mmmm\ dd\,\ yyyy"/>
    <numFmt numFmtId="167" formatCode="[$-409]h:mm:ss\ AM/PM;@"/>
    <numFmt numFmtId="168" formatCode="0.000"/>
    <numFmt numFmtId="169" formatCode="m/d/yy"/>
    <numFmt numFmtId="170" formatCode="m/d/yyyy"/>
    <numFmt numFmtId="171" formatCode="mmm\-yyyy"/>
    <numFmt numFmtId="172" formatCode="mmm/yyyy"/>
    <numFmt numFmtId="173" formatCode="mmmm\ d\,\ yyyy"/>
    <numFmt numFmtId="174" formatCode="0.0000"/>
    <numFmt numFmtId="175" formatCode="mmmm\ d"/>
    <numFmt numFmtId="176" formatCode="dd/mm/yyyy"/>
  </numFmts>
  <fonts count="57">
    <font>
      <sz val="10"/>
      <name val="Arial"/>
      <family val="0"/>
    </font>
    <font>
      <u val="single"/>
      <sz val="10"/>
      <color indexed="12"/>
      <name val="Arial"/>
      <family val="2"/>
    </font>
    <font>
      <u val="single"/>
      <sz val="10"/>
      <color indexed="36"/>
      <name val="Arial"/>
      <family val="2"/>
    </font>
    <font>
      <b/>
      <sz val="10"/>
      <name val="Arial"/>
      <family val="2"/>
    </font>
    <font>
      <b/>
      <sz val="18"/>
      <name val="Arial"/>
      <family val="2"/>
    </font>
    <font>
      <b/>
      <sz val="10"/>
      <color indexed="8"/>
      <name val="Arial"/>
      <family val="2"/>
    </font>
    <font>
      <b/>
      <sz val="10"/>
      <color indexed="10"/>
      <name val="Arial"/>
      <family val="2"/>
    </font>
    <font>
      <b/>
      <i/>
      <sz val="10"/>
      <color indexed="50"/>
      <name val="Arial"/>
      <family val="2"/>
    </font>
    <font>
      <b/>
      <i/>
      <sz val="10"/>
      <color indexed="10"/>
      <name val="Arial"/>
      <family val="2"/>
    </font>
    <font>
      <sz val="10"/>
      <color indexed="9"/>
      <name val="Arial"/>
      <family val="2"/>
    </font>
    <font>
      <sz val="10"/>
      <color indexed="8"/>
      <name val="Arial"/>
      <family val="2"/>
    </font>
    <font>
      <b/>
      <i/>
      <sz val="10"/>
      <color indexed="17"/>
      <name val="Arial"/>
      <family val="2"/>
    </font>
    <font>
      <b/>
      <sz val="10"/>
      <color indexed="17"/>
      <name val="Arial"/>
      <family val="2"/>
    </font>
    <font>
      <b/>
      <sz val="9"/>
      <name val="Arial"/>
      <family val="2"/>
    </font>
    <font>
      <sz val="9"/>
      <name val="Arial"/>
      <family val="2"/>
    </font>
    <font>
      <sz val="9"/>
      <color indexed="8"/>
      <name val="Arial"/>
      <family val="2"/>
    </font>
    <font>
      <b/>
      <sz val="10"/>
      <color indexed="9"/>
      <name val="Arial"/>
      <family val="2"/>
    </font>
    <font>
      <sz val="8"/>
      <name val="Tahoma"/>
      <family val="2"/>
    </font>
    <font>
      <b/>
      <i/>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31"/>
        <bgColor indexed="64"/>
      </patternFill>
    </fill>
    <fill>
      <patternFill patternType="solid">
        <fgColor indexed="46"/>
        <bgColor indexed="64"/>
      </patternFill>
    </fill>
    <fill>
      <patternFill patternType="solid">
        <fgColor indexed="34"/>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0"/>
        <bgColor indexed="64"/>
      </patternFill>
    </fill>
    <fill>
      <patternFill patternType="solid">
        <fgColor indexed="19"/>
        <bgColor indexed="64"/>
      </patternFill>
    </fill>
    <fill>
      <patternFill patternType="solid">
        <fgColor indexed="17"/>
        <bgColor indexed="64"/>
      </patternFill>
    </fill>
    <fill>
      <patternFill patternType="solid">
        <fgColor indexed="8"/>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theme="1"/>
        <bgColor indexed="64"/>
      </patternFill>
    </fill>
    <fill>
      <patternFill patternType="solid">
        <fgColor rgb="FF33CC33"/>
        <bgColor indexed="64"/>
      </patternFill>
    </fill>
    <fill>
      <patternFill patternType="solid">
        <fgColor rgb="FF7030A0"/>
        <bgColor indexed="64"/>
      </patternFill>
    </fill>
    <fill>
      <patternFill patternType="solid">
        <fgColor rgb="FFFF339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hair"/>
      <right style="hair"/>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3">
    <xf numFmtId="0" fontId="0" fillId="0" borderId="0" xfId="0" applyAlignment="1">
      <alignment/>
    </xf>
    <xf numFmtId="0" fontId="0" fillId="0" borderId="0" xfId="0" applyAlignment="1">
      <alignment horizontal="left"/>
    </xf>
    <xf numFmtId="0" fontId="0" fillId="0" borderId="0" xfId="57" applyBorder="1">
      <alignment/>
      <protection/>
    </xf>
    <xf numFmtId="0" fontId="0" fillId="33" borderId="10" xfId="57" applyFill="1" applyBorder="1">
      <alignment/>
      <protection/>
    </xf>
    <xf numFmtId="0" fontId="0" fillId="0" borderId="0" xfId="57">
      <alignment/>
      <protection/>
    </xf>
    <xf numFmtId="1" fontId="0" fillId="0" borderId="0" xfId="57" applyNumberFormat="1">
      <alignment/>
      <protection/>
    </xf>
    <xf numFmtId="15" fontId="0" fillId="0" borderId="0" xfId="57" applyNumberFormat="1">
      <alignment/>
      <protection/>
    </xf>
    <xf numFmtId="15" fontId="0" fillId="0" borderId="0" xfId="57" applyNumberFormat="1" applyAlignment="1">
      <alignment horizontal="center"/>
      <protection/>
    </xf>
    <xf numFmtId="15" fontId="5" fillId="0" borderId="0" xfId="57" applyNumberFormat="1" applyFont="1" applyAlignment="1">
      <alignment horizontal="center"/>
      <protection/>
    </xf>
    <xf numFmtId="20" fontId="0" fillId="0" borderId="0" xfId="57" applyNumberFormat="1">
      <alignment/>
      <protection/>
    </xf>
    <xf numFmtId="21" fontId="0" fillId="0" borderId="0" xfId="57" applyNumberFormat="1">
      <alignment/>
      <protection/>
    </xf>
    <xf numFmtId="15" fontId="6" fillId="0" borderId="0" xfId="57" applyNumberFormat="1" applyFont="1" applyAlignment="1">
      <alignment horizontal="center"/>
      <protection/>
    </xf>
    <xf numFmtId="15" fontId="0" fillId="0" borderId="11" xfId="57" applyNumberFormat="1" applyFill="1" applyBorder="1">
      <alignment/>
      <protection/>
    </xf>
    <xf numFmtId="15" fontId="3" fillId="0" borderId="0" xfId="57" applyNumberFormat="1" applyFont="1" applyAlignment="1">
      <alignment horizontal="center"/>
      <protection/>
    </xf>
    <xf numFmtId="15" fontId="0" fillId="0" borderId="0" xfId="57" applyNumberFormat="1" applyBorder="1">
      <alignment/>
      <protection/>
    </xf>
    <xf numFmtId="15" fontId="0" fillId="0" borderId="0" xfId="57" applyNumberFormat="1" applyFill="1" applyBorder="1">
      <alignment/>
      <protection/>
    </xf>
    <xf numFmtId="15" fontId="7" fillId="0" borderId="0" xfId="57" applyNumberFormat="1" applyFont="1" applyAlignment="1">
      <alignment horizontal="center"/>
      <protection/>
    </xf>
    <xf numFmtId="15" fontId="0" fillId="0" borderId="0" xfId="57" applyNumberFormat="1" applyFont="1" applyAlignment="1">
      <alignment horizontal="center"/>
      <protection/>
    </xf>
    <xf numFmtId="0" fontId="0" fillId="0" borderId="0" xfId="57" applyFill="1" applyBorder="1">
      <alignment/>
      <protection/>
    </xf>
    <xf numFmtId="0" fontId="0" fillId="0" borderId="0" xfId="57" applyFont="1">
      <alignment/>
      <protection/>
    </xf>
    <xf numFmtId="0" fontId="3" fillId="34" borderId="0" xfId="0" applyFont="1" applyFill="1" applyAlignment="1">
      <alignment/>
    </xf>
    <xf numFmtId="0" fontId="8" fillId="34" borderId="0" xfId="0" applyFont="1"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15" fontId="11" fillId="0" borderId="0" xfId="57" applyNumberFormat="1" applyFont="1" applyAlignment="1">
      <alignment horizontal="center"/>
      <protection/>
    </xf>
    <xf numFmtId="15" fontId="12" fillId="0" borderId="0" xfId="57" applyNumberFormat="1" applyFont="1" applyAlignment="1">
      <alignment horizontal="center"/>
      <protection/>
    </xf>
    <xf numFmtId="0" fontId="0" fillId="33" borderId="10" xfId="57" applyFill="1" applyBorder="1" applyAlignment="1">
      <alignment horizontal="center"/>
      <protection/>
    </xf>
    <xf numFmtId="0" fontId="0" fillId="33" borderId="0" xfId="57" applyFill="1" applyBorder="1" applyAlignment="1">
      <alignment horizontal="center"/>
      <protection/>
    </xf>
    <xf numFmtId="0" fontId="0" fillId="37" borderId="0" xfId="0" applyFill="1" applyAlignment="1">
      <alignment/>
    </xf>
    <xf numFmtId="0" fontId="0" fillId="37" borderId="0" xfId="0" applyFill="1" applyAlignment="1">
      <alignment horizontal="right"/>
    </xf>
    <xf numFmtId="0" fontId="0" fillId="38" borderId="0" xfId="0" applyFill="1" applyAlignment="1">
      <alignment/>
    </xf>
    <xf numFmtId="0" fontId="0" fillId="38" borderId="0" xfId="0" applyFill="1" applyAlignment="1">
      <alignment horizontal="right"/>
    </xf>
    <xf numFmtId="0" fontId="0" fillId="38" borderId="0" xfId="0" applyFill="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174" fontId="0" fillId="36" borderId="15" xfId="0" applyNumberFormat="1" applyFill="1" applyBorder="1" applyAlignment="1">
      <alignment horizontal="center"/>
    </xf>
    <xf numFmtId="175" fontId="0" fillId="37" borderId="0" xfId="0" applyNumberFormat="1" applyFill="1" applyAlignment="1">
      <alignment horizontal="center"/>
    </xf>
    <xf numFmtId="0" fontId="3" fillId="0" borderId="0" xfId="0" applyFont="1" applyAlignment="1">
      <alignment horizontal="center"/>
    </xf>
    <xf numFmtId="0" fontId="9" fillId="0" borderId="0" xfId="0" applyFont="1" applyFill="1" applyAlignment="1" applyProtection="1">
      <alignment horizontal="center"/>
      <protection/>
    </xf>
    <xf numFmtId="0" fontId="0" fillId="40" borderId="0" xfId="0" applyFill="1" applyAlignment="1" applyProtection="1">
      <alignment horizontal="center"/>
      <protection locked="0"/>
    </xf>
    <xf numFmtId="0" fontId="0" fillId="41" borderId="16" xfId="0" applyFill="1" applyBorder="1" applyAlignment="1" applyProtection="1">
      <alignment horizontal="center"/>
      <protection locked="0"/>
    </xf>
    <xf numFmtId="0" fontId="0" fillId="41" borderId="17" xfId="0" applyFill="1" applyBorder="1" applyAlignment="1" applyProtection="1">
      <alignment horizontal="center"/>
      <protection locked="0"/>
    </xf>
    <xf numFmtId="15" fontId="0" fillId="0" borderId="11" xfId="57" applyNumberFormat="1" applyFill="1" applyBorder="1" applyProtection="1">
      <alignment/>
      <protection locked="0"/>
    </xf>
    <xf numFmtId="15" fontId="0" fillId="42" borderId="11" xfId="57" applyNumberFormat="1" applyFont="1" applyFill="1" applyBorder="1" applyProtection="1">
      <alignment/>
      <protection locked="0"/>
    </xf>
    <xf numFmtId="15" fontId="0" fillId="43" borderId="11" xfId="57" applyNumberFormat="1" applyFill="1" applyBorder="1" applyProtection="1">
      <alignment/>
      <protection locked="0"/>
    </xf>
    <xf numFmtId="15" fontId="0" fillId="43" borderId="11" xfId="57" applyNumberFormat="1" applyFont="1" applyFill="1" applyBorder="1" applyProtection="1">
      <alignment/>
      <protection locked="0"/>
    </xf>
    <xf numFmtId="15" fontId="0" fillId="42" borderId="11" xfId="57" applyNumberFormat="1" applyFill="1" applyBorder="1" applyProtection="1">
      <alignment/>
      <protection locked="0"/>
    </xf>
    <xf numFmtId="0" fontId="0" fillId="43" borderId="11" xfId="57" applyFont="1" applyFill="1" applyBorder="1" applyProtection="1">
      <alignment/>
      <protection locked="0"/>
    </xf>
    <xf numFmtId="0" fontId="0" fillId="42" borderId="11" xfId="57" applyFill="1" applyBorder="1" applyProtection="1">
      <alignment/>
      <protection locked="0"/>
    </xf>
    <xf numFmtId="15" fontId="0" fillId="0" borderId="0" xfId="57" applyNumberFormat="1" applyFont="1">
      <alignment/>
      <protection/>
    </xf>
    <xf numFmtId="0" fontId="10" fillId="0" borderId="0" xfId="0" applyFont="1" applyFill="1" applyAlignment="1" applyProtection="1">
      <alignment horizontal="center"/>
      <protection/>
    </xf>
    <xf numFmtId="0" fontId="0" fillId="0" borderId="0" xfId="0" applyFill="1" applyAlignment="1">
      <alignment horizontal="center"/>
    </xf>
    <xf numFmtId="0" fontId="0" fillId="40" borderId="0" xfId="0" applyFill="1" applyAlignment="1">
      <alignment horizontal="center"/>
    </xf>
    <xf numFmtId="0" fontId="0" fillId="44" borderId="0" xfId="0" applyFill="1" applyAlignment="1">
      <alignment horizontal="right"/>
    </xf>
    <xf numFmtId="0" fontId="0" fillId="0" borderId="0" xfId="0" applyFill="1" applyAlignment="1">
      <alignment/>
    </xf>
    <xf numFmtId="0" fontId="10" fillId="0" borderId="0" xfId="0" applyFont="1" applyAlignment="1">
      <alignment/>
    </xf>
    <xf numFmtId="0" fontId="9" fillId="0" borderId="0" xfId="0" applyFont="1" applyFill="1" applyAlignment="1">
      <alignment horizontal="center"/>
    </xf>
    <xf numFmtId="15" fontId="0" fillId="0" borderId="0" xfId="57" applyNumberFormat="1" applyProtection="1">
      <alignment/>
      <protection/>
    </xf>
    <xf numFmtId="0" fontId="0" fillId="0" borderId="0" xfId="57" applyProtection="1">
      <alignment/>
      <protection/>
    </xf>
    <xf numFmtId="15" fontId="0" fillId="0" borderId="0" xfId="57" applyNumberFormat="1" applyAlignment="1" applyProtection="1">
      <alignment horizontal="center"/>
      <protection/>
    </xf>
    <xf numFmtId="15" fontId="10" fillId="0" borderId="0" xfId="57" applyNumberFormat="1" applyFont="1" applyAlignment="1">
      <alignment horizontal="center"/>
      <protection/>
    </xf>
    <xf numFmtId="1" fontId="14" fillId="35" borderId="0" xfId="0" applyNumberFormat="1" applyFont="1" applyFill="1" applyBorder="1" applyAlignment="1">
      <alignment/>
    </xf>
    <xf numFmtId="15" fontId="14" fillId="0" borderId="0" xfId="0" applyNumberFormat="1" applyFont="1" applyFill="1" applyBorder="1" applyAlignment="1">
      <alignment/>
    </xf>
    <xf numFmtId="15" fontId="14" fillId="35" borderId="0" xfId="0" applyNumberFormat="1" applyFont="1" applyFill="1" applyBorder="1" applyAlignment="1">
      <alignment/>
    </xf>
    <xf numFmtId="0" fontId="0" fillId="0" borderId="0" xfId="0" applyAlignment="1">
      <alignment horizontal="right"/>
    </xf>
    <xf numFmtId="0" fontId="14" fillId="35" borderId="0" xfId="0" applyFont="1" applyFill="1" applyBorder="1" applyAlignment="1">
      <alignment/>
    </xf>
    <xf numFmtId="0" fontId="0" fillId="0" borderId="0" xfId="0" applyBorder="1" applyAlignment="1">
      <alignment/>
    </xf>
    <xf numFmtId="15" fontId="14" fillId="0" borderId="0" xfId="57" applyNumberFormat="1" applyFont="1" applyFill="1" applyBorder="1" applyProtection="1">
      <alignment/>
      <protection locked="0"/>
    </xf>
    <xf numFmtId="15" fontId="14" fillId="43" borderId="0" xfId="0" applyNumberFormat="1" applyFont="1" applyFill="1" applyBorder="1" applyAlignment="1">
      <alignment/>
    </xf>
    <xf numFmtId="15" fontId="14" fillId="42" borderId="0" xfId="0" applyNumberFormat="1" applyFont="1" applyFill="1" applyBorder="1" applyAlignment="1">
      <alignment/>
    </xf>
    <xf numFmtId="0" fontId="14" fillId="0" borderId="0" xfId="57" applyFont="1" applyFill="1" applyBorder="1" applyProtection="1">
      <alignment/>
      <protection locked="0"/>
    </xf>
    <xf numFmtId="15" fontId="14" fillId="42" borderId="0" xfId="57" applyNumberFormat="1" applyFont="1" applyFill="1" applyBorder="1" applyProtection="1">
      <alignment/>
      <protection locked="0"/>
    </xf>
    <xf numFmtId="1" fontId="14" fillId="35" borderId="0" xfId="57" applyNumberFormat="1" applyFont="1" applyFill="1" applyBorder="1" applyProtection="1">
      <alignment/>
      <protection locked="0"/>
    </xf>
    <xf numFmtId="15" fontId="0" fillId="43" borderId="0" xfId="57" applyNumberFormat="1" applyFill="1" applyBorder="1" applyProtection="1">
      <alignment/>
      <protection locked="0"/>
    </xf>
    <xf numFmtId="15" fontId="14" fillId="41" borderId="0" xfId="0" applyNumberFormat="1" applyFont="1" applyFill="1" applyBorder="1" applyAlignment="1">
      <alignment/>
    </xf>
    <xf numFmtId="0" fontId="14" fillId="43" borderId="0" xfId="0" applyFont="1" applyFill="1" applyBorder="1" applyAlignment="1">
      <alignment/>
    </xf>
    <xf numFmtId="0" fontId="0" fillId="35" borderId="0" xfId="0" applyFill="1" applyBorder="1" applyAlignment="1">
      <alignment/>
    </xf>
    <xf numFmtId="0" fontId="0" fillId="0" borderId="0" xfId="0" applyFill="1" applyBorder="1" applyAlignment="1">
      <alignment/>
    </xf>
    <xf numFmtId="15" fontId="0" fillId="0" borderId="18" xfId="57" applyNumberFormat="1" applyFill="1" applyBorder="1">
      <alignment/>
      <protection/>
    </xf>
    <xf numFmtId="17" fontId="0" fillId="0" borderId="0" xfId="0" applyNumberFormat="1" applyAlignment="1">
      <alignment horizontal="left"/>
    </xf>
    <xf numFmtId="15" fontId="0" fillId="45" borderId="11" xfId="57" applyNumberFormat="1" applyFill="1" applyBorder="1" applyProtection="1">
      <alignment/>
      <protection locked="0"/>
    </xf>
    <xf numFmtId="15" fontId="0" fillId="45" borderId="11" xfId="57" applyNumberFormat="1" applyFont="1" applyFill="1" applyBorder="1" applyProtection="1">
      <alignment/>
      <protection locked="0"/>
    </xf>
    <xf numFmtId="0" fontId="16" fillId="46" borderId="19" xfId="0" applyFont="1" applyFill="1" applyBorder="1" applyAlignment="1">
      <alignment/>
    </xf>
    <xf numFmtId="0" fontId="16" fillId="46" borderId="20" xfId="0" applyFont="1" applyFill="1" applyBorder="1" applyAlignment="1">
      <alignment/>
    </xf>
    <xf numFmtId="0" fontId="16" fillId="46" borderId="21" xfId="0" applyFont="1" applyFill="1" applyBorder="1" applyAlignment="1">
      <alignment/>
    </xf>
    <xf numFmtId="175" fontId="3" fillId="39" borderId="13" xfId="0" applyNumberFormat="1" applyFont="1" applyFill="1" applyBorder="1" applyAlignment="1">
      <alignment horizontal="left"/>
    </xf>
    <xf numFmtId="16" fontId="9" fillId="0" borderId="0" xfId="0" applyNumberFormat="1" applyFont="1" applyAlignment="1">
      <alignment/>
    </xf>
    <xf numFmtId="1" fontId="18" fillId="0" borderId="0" xfId="57" applyNumberFormat="1" applyFont="1">
      <alignment/>
      <protection/>
    </xf>
    <xf numFmtId="15" fontId="18" fillId="0" borderId="0" xfId="57" applyNumberFormat="1" applyFont="1">
      <alignment/>
      <protection/>
    </xf>
    <xf numFmtId="0" fontId="0" fillId="33" borderId="10" xfId="57" applyFont="1" applyFill="1" applyBorder="1">
      <alignment/>
      <protection/>
    </xf>
    <xf numFmtId="15" fontId="0" fillId="0" borderId="0" xfId="57" applyNumberFormat="1" applyFont="1" applyAlignment="1">
      <alignment horizontal="center"/>
      <protection/>
    </xf>
    <xf numFmtId="1" fontId="0" fillId="0" borderId="0" xfId="57" applyNumberFormat="1" applyFont="1" applyAlignment="1">
      <alignment horizontal="center"/>
      <protection/>
    </xf>
    <xf numFmtId="0" fontId="0" fillId="0" borderId="0" xfId="57" applyFont="1" applyAlignment="1">
      <alignment horizontal="center"/>
      <protection/>
    </xf>
    <xf numFmtId="0" fontId="0" fillId="43" borderId="0" xfId="57" applyFont="1" applyFill="1" applyProtection="1">
      <alignment/>
      <protection locked="0"/>
    </xf>
    <xf numFmtId="15" fontId="9" fillId="0" borderId="0" xfId="57" applyNumberFormat="1" applyFont="1">
      <alignment/>
      <protection/>
    </xf>
    <xf numFmtId="15" fontId="0" fillId="0" borderId="0" xfId="57" applyNumberFormat="1" applyFont="1" applyProtection="1">
      <alignment/>
      <protection/>
    </xf>
    <xf numFmtId="15" fontId="0" fillId="0" borderId="0" xfId="57" applyNumberFormat="1" applyFont="1" applyProtection="1" quotePrefix="1">
      <alignment/>
      <protection/>
    </xf>
    <xf numFmtId="15" fontId="15" fillId="42" borderId="0" xfId="0" applyNumberFormat="1" applyFont="1" applyFill="1" applyBorder="1" applyAlignment="1">
      <alignment/>
    </xf>
    <xf numFmtId="0" fontId="14" fillId="42" borderId="0" xfId="57" applyFont="1" applyFill="1" applyBorder="1" applyProtection="1">
      <alignment/>
      <protection locked="0"/>
    </xf>
    <xf numFmtId="15" fontId="0" fillId="43" borderId="0" xfId="57" applyNumberFormat="1" applyFont="1" applyFill="1" applyBorder="1" applyProtection="1">
      <alignment/>
      <protection locked="0"/>
    </xf>
    <xf numFmtId="0" fontId="0" fillId="42" borderId="11" xfId="57" applyFont="1" applyFill="1" applyBorder="1" applyProtection="1">
      <alignment/>
      <protection locked="0"/>
    </xf>
    <xf numFmtId="0" fontId="3" fillId="47" borderId="19" xfId="0" applyFont="1" applyFill="1" applyBorder="1" applyAlignment="1">
      <alignment/>
    </xf>
    <xf numFmtId="0" fontId="3" fillId="47" borderId="21" xfId="0" applyFont="1" applyFill="1" applyBorder="1" applyAlignment="1">
      <alignment/>
    </xf>
    <xf numFmtId="0" fontId="3" fillId="45" borderId="19" xfId="0" applyFont="1" applyFill="1" applyBorder="1" applyAlignment="1">
      <alignment/>
    </xf>
    <xf numFmtId="0" fontId="3" fillId="45" borderId="21" xfId="0" applyFont="1" applyFill="1" applyBorder="1" applyAlignment="1">
      <alignment/>
    </xf>
    <xf numFmtId="0" fontId="3" fillId="41" borderId="19" xfId="0" applyFont="1" applyFill="1" applyBorder="1" applyAlignment="1">
      <alignment/>
    </xf>
    <xf numFmtId="0" fontId="3" fillId="41" borderId="21" xfId="0" applyFont="1" applyFill="1" applyBorder="1" applyAlignment="1">
      <alignment/>
    </xf>
    <xf numFmtId="0" fontId="3" fillId="43" borderId="19" xfId="0" applyFont="1" applyFill="1" applyBorder="1" applyAlignment="1">
      <alignment/>
    </xf>
    <xf numFmtId="0" fontId="3" fillId="43" borderId="21" xfId="0" applyFont="1" applyFill="1" applyBorder="1" applyAlignment="1">
      <alignment/>
    </xf>
    <xf numFmtId="0" fontId="16" fillId="48" borderId="19" xfId="0" applyFont="1" applyFill="1" applyBorder="1" applyAlignment="1">
      <alignment/>
    </xf>
    <xf numFmtId="0" fontId="16" fillId="48" borderId="21" xfId="0" applyFont="1" applyFill="1" applyBorder="1" applyAlignment="1">
      <alignment/>
    </xf>
    <xf numFmtId="0" fontId="3" fillId="42" borderId="19" xfId="0" applyFont="1" applyFill="1" applyBorder="1" applyAlignment="1">
      <alignment/>
    </xf>
    <xf numFmtId="0" fontId="3" fillId="42" borderId="21" xfId="0" applyFont="1" applyFill="1" applyBorder="1" applyAlignment="1">
      <alignment/>
    </xf>
    <xf numFmtId="0" fontId="14" fillId="43" borderId="0" xfId="57" applyFont="1" applyFill="1" applyBorder="1" applyProtection="1">
      <alignment/>
      <protection locked="0"/>
    </xf>
    <xf numFmtId="15" fontId="0" fillId="0" borderId="0" xfId="57" applyNumberFormat="1" applyFont="1">
      <alignment/>
      <protection/>
    </xf>
    <xf numFmtId="49" fontId="4" fillId="0" borderId="19" xfId="57" applyNumberFormat="1" applyFont="1" applyBorder="1">
      <alignment/>
      <protection/>
    </xf>
    <xf numFmtId="49" fontId="4" fillId="0" borderId="20" xfId="57" applyNumberFormat="1" applyFont="1" applyBorder="1">
      <alignment/>
      <protection/>
    </xf>
    <xf numFmtId="15" fontId="4" fillId="0" borderId="20" xfId="57" applyNumberFormat="1" applyFont="1" applyBorder="1">
      <alignment/>
      <protection/>
    </xf>
    <xf numFmtId="0" fontId="4" fillId="0" borderId="20" xfId="57" applyFont="1" applyBorder="1">
      <alignment/>
      <protection/>
    </xf>
    <xf numFmtId="17" fontId="4" fillId="0" borderId="20" xfId="57" applyNumberFormat="1" applyFont="1" applyBorder="1">
      <alignment/>
      <protection/>
    </xf>
    <xf numFmtId="0" fontId="4" fillId="0" borderId="21" xfId="57" applyFont="1" applyBorder="1">
      <alignment/>
      <protection/>
    </xf>
    <xf numFmtId="0" fontId="0" fillId="0" borderId="20" xfId="57" applyBorder="1">
      <alignment/>
      <protection/>
    </xf>
    <xf numFmtId="15" fontId="0" fillId="42" borderId="11" xfId="57" applyNumberFormat="1" applyFont="1" applyFill="1" applyBorder="1" applyProtection="1">
      <alignment/>
      <protection locked="0"/>
    </xf>
    <xf numFmtId="15" fontId="0" fillId="49" borderId="11" xfId="57" applyNumberFormat="1" applyFont="1" applyFill="1" applyBorder="1" applyProtection="1">
      <alignment/>
      <protection locked="0"/>
    </xf>
    <xf numFmtId="15" fontId="0" fillId="45" borderId="11" xfId="57" applyNumberFormat="1" applyFont="1" applyFill="1" applyBorder="1" applyProtection="1">
      <alignment/>
      <protection locked="0"/>
    </xf>
    <xf numFmtId="15" fontId="0" fillId="50" borderId="11" xfId="57" applyNumberFormat="1" applyFont="1" applyFill="1" applyBorder="1" applyProtection="1">
      <alignment/>
      <protection locked="0"/>
    </xf>
    <xf numFmtId="15" fontId="0" fillId="51" borderId="11" xfId="57" applyNumberFormat="1" applyFont="1" applyFill="1" applyBorder="1" applyProtection="1">
      <alignment/>
      <protection locked="0"/>
    </xf>
    <xf numFmtId="15" fontId="0" fillId="51" borderId="11" xfId="57" applyNumberFormat="1" applyFill="1" applyBorder="1" applyProtection="1">
      <alignment/>
      <protection locked="0"/>
    </xf>
    <xf numFmtId="15" fontId="0" fillId="51" borderId="11" xfId="57" applyNumberFormat="1" applyFont="1" applyFill="1" applyBorder="1" applyProtection="1">
      <alignment/>
      <protection locked="0"/>
    </xf>
    <xf numFmtId="15" fontId="10" fillId="51" borderId="11" xfId="57" applyNumberFormat="1" applyFont="1" applyFill="1" applyBorder="1" applyProtection="1">
      <alignment/>
      <protection locked="0"/>
    </xf>
    <xf numFmtId="15" fontId="55" fillId="52" borderId="11" xfId="57" applyNumberFormat="1" applyFont="1" applyFill="1" applyBorder="1" applyProtection="1">
      <alignment/>
      <protection locked="0"/>
    </xf>
    <xf numFmtId="0" fontId="0" fillId="49" borderId="11" xfId="57" applyFont="1" applyFill="1" applyBorder="1" applyProtection="1">
      <alignment/>
      <protection locked="0"/>
    </xf>
    <xf numFmtId="15" fontId="0" fillId="51" borderId="11" xfId="57" applyNumberFormat="1" applyFont="1" applyFill="1" applyBorder="1" applyProtection="1">
      <alignment/>
      <protection locked="0"/>
    </xf>
    <xf numFmtId="0" fontId="0" fillId="51" borderId="11" xfId="57" applyFill="1" applyBorder="1" applyProtection="1">
      <alignment/>
      <protection locked="0"/>
    </xf>
    <xf numFmtId="15" fontId="0" fillId="53" borderId="11" xfId="57" applyNumberFormat="1" applyFill="1" applyBorder="1" applyProtection="1">
      <alignment/>
      <protection locked="0"/>
    </xf>
    <xf numFmtId="0" fontId="0" fillId="53" borderId="11" xfId="57" applyFill="1" applyBorder="1" applyProtection="1">
      <alignment/>
      <protection locked="0"/>
    </xf>
    <xf numFmtId="15" fontId="0" fillId="53" borderId="11" xfId="57" applyNumberFormat="1" applyFont="1" applyFill="1" applyBorder="1" applyProtection="1">
      <alignment/>
      <protection locked="0"/>
    </xf>
    <xf numFmtId="0" fontId="0" fillId="53" borderId="11" xfId="57" applyFont="1" applyFill="1" applyBorder="1" applyProtection="1">
      <alignment/>
      <protection locked="0"/>
    </xf>
    <xf numFmtId="15" fontId="0" fillId="53" borderId="11" xfId="57" applyNumberFormat="1" applyFont="1" applyFill="1" applyBorder="1" applyProtection="1">
      <alignment/>
      <protection locked="0"/>
    </xf>
    <xf numFmtId="0" fontId="0" fillId="51" borderId="11" xfId="57" applyFont="1" applyFill="1" applyBorder="1" applyProtection="1">
      <alignment/>
      <protection locked="0"/>
    </xf>
    <xf numFmtId="15" fontId="0" fillId="54" borderId="11" xfId="57" applyNumberFormat="1" applyFont="1" applyFill="1" applyBorder="1" applyProtection="1">
      <alignment/>
      <protection locked="0"/>
    </xf>
    <xf numFmtId="15" fontId="0" fillId="54" borderId="11" xfId="57" applyNumberFormat="1" applyFont="1" applyFill="1" applyBorder="1" applyProtection="1">
      <alignment/>
      <protection locked="0"/>
    </xf>
    <xf numFmtId="15" fontId="0" fillId="45" borderId="11" xfId="57" applyNumberFormat="1" applyFont="1" applyFill="1" applyBorder="1" applyProtection="1">
      <alignment/>
      <protection locked="0"/>
    </xf>
    <xf numFmtId="15" fontId="0" fillId="55" borderId="11" xfId="57" applyNumberFormat="1" applyFont="1" applyFill="1" applyBorder="1" applyProtection="1">
      <alignment/>
      <protection locked="0"/>
    </xf>
    <xf numFmtId="0" fontId="13" fillId="56" borderId="0" xfId="0" applyFont="1" applyFill="1" applyBorder="1" applyAlignment="1">
      <alignment horizontal="center"/>
    </xf>
    <xf numFmtId="0" fontId="0" fillId="36" borderId="22" xfId="0" applyFill="1" applyBorder="1" applyAlignment="1">
      <alignment horizontal="center"/>
    </xf>
    <xf numFmtId="0" fontId="0" fillId="36" borderId="23" xfId="0" applyFill="1" applyBorder="1" applyAlignment="1">
      <alignment horizontal="center"/>
    </xf>
    <xf numFmtId="0" fontId="0" fillId="36" borderId="24" xfId="0" applyFill="1" applyBorder="1" applyAlignment="1">
      <alignment horizontal="center"/>
    </xf>
    <xf numFmtId="15" fontId="0" fillId="51" borderId="11" xfId="57" applyNumberFormat="1" applyFont="1" applyFill="1" applyBorder="1" applyProtection="1">
      <alignment/>
      <protection locked="0"/>
    </xf>
    <xf numFmtId="15" fontId="0" fillId="43" borderId="11" xfId="57" applyNumberFormat="1" applyFont="1" applyFill="1" applyBorder="1" applyProtection="1">
      <alignment/>
      <protection locked="0"/>
    </xf>
    <xf numFmtId="15" fontId="0" fillId="42" borderId="11" xfId="57" applyNumberFormat="1" applyFont="1" applyFill="1" applyBorder="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ours04" xfId="57"/>
    <cellStyle name="Note" xfId="58"/>
    <cellStyle name="Output" xfId="59"/>
    <cellStyle name="Percent" xfId="60"/>
    <cellStyle name="Title" xfId="61"/>
    <cellStyle name="Total" xfId="62"/>
    <cellStyle name="Warning Text" xfId="63"/>
  </cellStyles>
  <dxfs count="53">
    <dxf>
      <font>
        <b val="0"/>
        <i val="0"/>
        <color indexed="9"/>
      </font>
      <fill>
        <patternFill patternType="none">
          <bgColor indexed="65"/>
        </patternFill>
      </fill>
      <border>
        <left/>
        <right/>
        <top/>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font>
        <b/>
        <i/>
        <color indexed="10"/>
      </font>
    </dxf>
    <dxf>
      <font>
        <b/>
        <i val="0"/>
        <color indexed="10"/>
      </font>
    </dxf>
    <dxf>
      <font>
        <b/>
        <i/>
        <color indexed="10"/>
      </font>
    </dxf>
    <dxf>
      <font>
        <color indexed="10"/>
      </font>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font>
        <b/>
        <i/>
        <color indexed="10"/>
      </font>
    </dxf>
    <dxf>
      <border>
        <left style="thin">
          <color indexed="10"/>
        </left>
        <right style="thin">
          <color indexed="10"/>
        </right>
        <top style="thin">
          <color indexed="10"/>
        </top>
        <bottom style="thin">
          <color indexed="10"/>
        </bottom>
      </border>
    </dxf>
    <dxf>
      <border>
        <left style="thin">
          <color indexed="10"/>
        </left>
        <right style="thin">
          <color indexed="10"/>
        </right>
        <top style="thin">
          <color indexed="10"/>
        </top>
        <bottom style="thin">
          <color indexed="10"/>
        </bottom>
      </border>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color indexed="10"/>
      </font>
    </dxf>
    <dxf>
      <font>
        <b/>
        <i val="0"/>
        <color indexed="10"/>
      </font>
    </dxf>
    <dxf>
      <font>
        <b/>
        <i val="0"/>
        <color indexed="10"/>
      </font>
    </dxf>
    <dxf>
      <font>
        <b/>
        <i val="0"/>
        <color indexed="10"/>
      </font>
    </dxf>
    <dxf>
      <font>
        <b/>
        <i val="0"/>
        <color indexed="10"/>
      </font>
    </dxf>
    <dxf>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17</xdr:row>
      <xdr:rowOff>152400</xdr:rowOff>
    </xdr:from>
    <xdr:to>
      <xdr:col>2</xdr:col>
      <xdr:colOff>219075</xdr:colOff>
      <xdr:row>18</xdr:row>
      <xdr:rowOff>152400</xdr:rowOff>
    </xdr:to>
    <xdr:pic>
      <xdr:nvPicPr>
        <xdr:cNvPr id="1" name="Picture 1"/>
        <xdr:cNvPicPr preferRelativeResize="1">
          <a:picLocks noChangeAspect="1"/>
        </xdr:cNvPicPr>
      </xdr:nvPicPr>
      <xdr:blipFill>
        <a:blip r:embed="rId1"/>
        <a:stretch>
          <a:fillRect/>
        </a:stretch>
      </xdr:blipFill>
      <xdr:spPr>
        <a:xfrm>
          <a:off x="1181100" y="3038475"/>
          <a:ext cx="161925" cy="161925"/>
        </a:xfrm>
        <a:prstGeom prst="rect">
          <a:avLst/>
        </a:prstGeom>
        <a:noFill/>
        <a:ln w="9525" cmpd="sng">
          <a:noFill/>
        </a:ln>
      </xdr:spPr>
    </xdr:pic>
    <xdr:clientData/>
  </xdr:twoCellAnchor>
  <xdr:twoCellAnchor editAs="oneCell">
    <xdr:from>
      <xdr:col>2</xdr:col>
      <xdr:colOff>38100</xdr:colOff>
      <xdr:row>26</xdr:row>
      <xdr:rowOff>142875</xdr:rowOff>
    </xdr:from>
    <xdr:to>
      <xdr:col>2</xdr:col>
      <xdr:colOff>219075</xdr:colOff>
      <xdr:row>28</xdr:row>
      <xdr:rowOff>0</xdr:rowOff>
    </xdr:to>
    <xdr:pic>
      <xdr:nvPicPr>
        <xdr:cNvPr id="2" name="Picture 2"/>
        <xdr:cNvPicPr preferRelativeResize="1">
          <a:picLocks noChangeAspect="1"/>
        </xdr:cNvPicPr>
      </xdr:nvPicPr>
      <xdr:blipFill>
        <a:blip r:embed="rId2"/>
        <a:stretch>
          <a:fillRect/>
        </a:stretch>
      </xdr:blipFill>
      <xdr:spPr>
        <a:xfrm>
          <a:off x="1162050" y="4486275"/>
          <a:ext cx="180975" cy="180975"/>
        </a:xfrm>
        <a:prstGeom prst="rect">
          <a:avLst/>
        </a:prstGeom>
        <a:noFill/>
        <a:ln w="9525" cmpd="sng">
          <a:noFill/>
        </a:ln>
      </xdr:spPr>
    </xdr:pic>
    <xdr:clientData/>
  </xdr:twoCellAnchor>
  <xdr:twoCellAnchor editAs="oneCell">
    <xdr:from>
      <xdr:col>2</xdr:col>
      <xdr:colOff>47625</xdr:colOff>
      <xdr:row>5</xdr:row>
      <xdr:rowOff>0</xdr:rowOff>
    </xdr:from>
    <xdr:to>
      <xdr:col>2</xdr:col>
      <xdr:colOff>200025</xdr:colOff>
      <xdr:row>6</xdr:row>
      <xdr:rowOff>0</xdr:rowOff>
    </xdr:to>
    <xdr:pic>
      <xdr:nvPicPr>
        <xdr:cNvPr id="3" name="Picture 3"/>
        <xdr:cNvPicPr preferRelativeResize="1">
          <a:picLocks noChangeAspect="1"/>
        </xdr:cNvPicPr>
      </xdr:nvPicPr>
      <xdr:blipFill>
        <a:blip r:embed="rId3"/>
        <a:stretch>
          <a:fillRect/>
        </a:stretch>
      </xdr:blipFill>
      <xdr:spPr>
        <a:xfrm>
          <a:off x="1171575" y="942975"/>
          <a:ext cx="152400" cy="161925"/>
        </a:xfrm>
        <a:prstGeom prst="rect">
          <a:avLst/>
        </a:prstGeom>
        <a:noFill/>
        <a:ln w="9525" cmpd="sng">
          <a:noFill/>
        </a:ln>
      </xdr:spPr>
    </xdr:pic>
    <xdr:clientData/>
  </xdr:twoCellAnchor>
  <xdr:twoCellAnchor editAs="oneCell">
    <xdr:from>
      <xdr:col>2</xdr:col>
      <xdr:colOff>28575</xdr:colOff>
      <xdr:row>11</xdr:row>
      <xdr:rowOff>47625</xdr:rowOff>
    </xdr:from>
    <xdr:to>
      <xdr:col>2</xdr:col>
      <xdr:colOff>200025</xdr:colOff>
      <xdr:row>12</xdr:row>
      <xdr:rowOff>47625</xdr:rowOff>
    </xdr:to>
    <xdr:pic>
      <xdr:nvPicPr>
        <xdr:cNvPr id="4" name="Picture 4"/>
        <xdr:cNvPicPr preferRelativeResize="1">
          <a:picLocks noChangeAspect="1"/>
        </xdr:cNvPicPr>
      </xdr:nvPicPr>
      <xdr:blipFill>
        <a:blip r:embed="rId4"/>
        <a:stretch>
          <a:fillRect/>
        </a:stretch>
      </xdr:blipFill>
      <xdr:spPr>
        <a:xfrm>
          <a:off x="1152525" y="1962150"/>
          <a:ext cx="171450"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190500</xdr:colOff>
      <xdr:row>13</xdr:row>
      <xdr:rowOff>9525</xdr:rowOff>
    </xdr:to>
    <xdr:pic>
      <xdr:nvPicPr>
        <xdr:cNvPr id="1" name="Picture 5"/>
        <xdr:cNvPicPr preferRelativeResize="1">
          <a:picLocks noChangeAspect="1"/>
        </xdr:cNvPicPr>
      </xdr:nvPicPr>
      <xdr:blipFill>
        <a:blip r:embed="rId1"/>
        <a:stretch>
          <a:fillRect/>
        </a:stretch>
      </xdr:blipFill>
      <xdr:spPr>
        <a:xfrm>
          <a:off x="1152525" y="2085975"/>
          <a:ext cx="161925" cy="161925"/>
        </a:xfrm>
        <a:prstGeom prst="rect">
          <a:avLst/>
        </a:prstGeom>
        <a:noFill/>
        <a:ln w="9525" cmpd="sng">
          <a:noFill/>
        </a:ln>
      </xdr:spPr>
    </xdr:pic>
    <xdr:clientData/>
  </xdr:twoCellAnchor>
  <xdr:twoCellAnchor editAs="oneCell">
    <xdr:from>
      <xdr:col>2</xdr:col>
      <xdr:colOff>38100</xdr:colOff>
      <xdr:row>19</xdr:row>
      <xdr:rowOff>9525</xdr:rowOff>
    </xdr:from>
    <xdr:to>
      <xdr:col>2</xdr:col>
      <xdr:colOff>219075</xdr:colOff>
      <xdr:row>20</xdr:row>
      <xdr:rowOff>19050</xdr:rowOff>
    </xdr:to>
    <xdr:pic>
      <xdr:nvPicPr>
        <xdr:cNvPr id="2" name="Picture 6"/>
        <xdr:cNvPicPr preferRelativeResize="1">
          <a:picLocks noChangeAspect="1"/>
        </xdr:cNvPicPr>
      </xdr:nvPicPr>
      <xdr:blipFill>
        <a:blip r:embed="rId2"/>
        <a:stretch>
          <a:fillRect/>
        </a:stretch>
      </xdr:blipFill>
      <xdr:spPr>
        <a:xfrm>
          <a:off x="1162050" y="3219450"/>
          <a:ext cx="180975" cy="171450"/>
        </a:xfrm>
        <a:prstGeom prst="rect">
          <a:avLst/>
        </a:prstGeom>
        <a:noFill/>
        <a:ln w="9525" cmpd="sng">
          <a:noFill/>
        </a:ln>
      </xdr:spPr>
    </xdr:pic>
    <xdr:clientData/>
  </xdr:twoCellAnchor>
  <xdr:twoCellAnchor editAs="oneCell">
    <xdr:from>
      <xdr:col>2</xdr:col>
      <xdr:colOff>66675</xdr:colOff>
      <xdr:row>26</xdr:row>
      <xdr:rowOff>19050</xdr:rowOff>
    </xdr:from>
    <xdr:to>
      <xdr:col>2</xdr:col>
      <xdr:colOff>219075</xdr:colOff>
      <xdr:row>27</xdr:row>
      <xdr:rowOff>19050</xdr:rowOff>
    </xdr:to>
    <xdr:pic>
      <xdr:nvPicPr>
        <xdr:cNvPr id="3" name="Picture 7"/>
        <xdr:cNvPicPr preferRelativeResize="1">
          <a:picLocks noChangeAspect="1"/>
        </xdr:cNvPicPr>
      </xdr:nvPicPr>
      <xdr:blipFill>
        <a:blip r:embed="rId3"/>
        <a:stretch>
          <a:fillRect/>
        </a:stretch>
      </xdr:blipFill>
      <xdr:spPr>
        <a:xfrm>
          <a:off x="1190625" y="4362450"/>
          <a:ext cx="152400" cy="161925"/>
        </a:xfrm>
        <a:prstGeom prst="rect">
          <a:avLst/>
        </a:prstGeom>
        <a:noFill/>
        <a:ln w="9525" cmpd="sng">
          <a:noFill/>
        </a:ln>
      </xdr:spPr>
    </xdr:pic>
    <xdr:clientData/>
  </xdr:twoCellAnchor>
  <xdr:twoCellAnchor editAs="oneCell">
    <xdr:from>
      <xdr:col>2</xdr:col>
      <xdr:colOff>38100</xdr:colOff>
      <xdr:row>4</xdr:row>
      <xdr:rowOff>152400</xdr:rowOff>
    </xdr:from>
    <xdr:to>
      <xdr:col>2</xdr:col>
      <xdr:colOff>209550</xdr:colOff>
      <xdr:row>5</xdr:row>
      <xdr:rowOff>152400</xdr:rowOff>
    </xdr:to>
    <xdr:pic>
      <xdr:nvPicPr>
        <xdr:cNvPr id="4" name="Picture 8"/>
        <xdr:cNvPicPr preferRelativeResize="1">
          <a:picLocks noChangeAspect="1"/>
        </xdr:cNvPicPr>
      </xdr:nvPicPr>
      <xdr:blipFill>
        <a:blip r:embed="rId4"/>
        <a:stretch>
          <a:fillRect/>
        </a:stretch>
      </xdr:blipFill>
      <xdr:spPr>
        <a:xfrm>
          <a:off x="1162050" y="933450"/>
          <a:ext cx="171450" cy="161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10</xdr:row>
      <xdr:rowOff>28575</xdr:rowOff>
    </xdr:from>
    <xdr:to>
      <xdr:col>2</xdr:col>
      <xdr:colOff>200025</xdr:colOff>
      <xdr:row>11</xdr:row>
      <xdr:rowOff>28575</xdr:rowOff>
    </xdr:to>
    <xdr:pic>
      <xdr:nvPicPr>
        <xdr:cNvPr id="1" name="Picture 5"/>
        <xdr:cNvPicPr preferRelativeResize="1">
          <a:picLocks noChangeAspect="1"/>
        </xdr:cNvPicPr>
      </xdr:nvPicPr>
      <xdr:blipFill>
        <a:blip r:embed="rId1"/>
        <a:stretch>
          <a:fillRect/>
        </a:stretch>
      </xdr:blipFill>
      <xdr:spPr>
        <a:xfrm>
          <a:off x="1162050" y="1781175"/>
          <a:ext cx="161925" cy="161925"/>
        </a:xfrm>
        <a:prstGeom prst="rect">
          <a:avLst/>
        </a:prstGeom>
        <a:noFill/>
        <a:ln w="9525" cmpd="sng">
          <a:noFill/>
        </a:ln>
      </xdr:spPr>
    </xdr:pic>
    <xdr:clientData/>
  </xdr:twoCellAnchor>
  <xdr:twoCellAnchor editAs="oneCell">
    <xdr:from>
      <xdr:col>2</xdr:col>
      <xdr:colOff>19050</xdr:colOff>
      <xdr:row>17</xdr:row>
      <xdr:rowOff>0</xdr:rowOff>
    </xdr:from>
    <xdr:to>
      <xdr:col>2</xdr:col>
      <xdr:colOff>200025</xdr:colOff>
      <xdr:row>18</xdr:row>
      <xdr:rowOff>19050</xdr:rowOff>
    </xdr:to>
    <xdr:pic>
      <xdr:nvPicPr>
        <xdr:cNvPr id="2" name="Picture 6"/>
        <xdr:cNvPicPr preferRelativeResize="1">
          <a:picLocks noChangeAspect="1"/>
        </xdr:cNvPicPr>
      </xdr:nvPicPr>
      <xdr:blipFill>
        <a:blip r:embed="rId2"/>
        <a:stretch>
          <a:fillRect/>
        </a:stretch>
      </xdr:blipFill>
      <xdr:spPr>
        <a:xfrm>
          <a:off x="1143000" y="2886075"/>
          <a:ext cx="180975" cy="180975"/>
        </a:xfrm>
        <a:prstGeom prst="rect">
          <a:avLst/>
        </a:prstGeom>
        <a:noFill/>
        <a:ln w="9525" cmpd="sng">
          <a:noFill/>
        </a:ln>
      </xdr:spPr>
    </xdr:pic>
    <xdr:clientData/>
  </xdr:twoCellAnchor>
  <xdr:twoCellAnchor editAs="oneCell">
    <xdr:from>
      <xdr:col>2</xdr:col>
      <xdr:colOff>57150</xdr:colOff>
      <xdr:row>24</xdr:row>
      <xdr:rowOff>152400</xdr:rowOff>
    </xdr:from>
    <xdr:to>
      <xdr:col>2</xdr:col>
      <xdr:colOff>209550</xdr:colOff>
      <xdr:row>25</xdr:row>
      <xdr:rowOff>152400</xdr:rowOff>
    </xdr:to>
    <xdr:pic>
      <xdr:nvPicPr>
        <xdr:cNvPr id="3" name="Picture 7"/>
        <xdr:cNvPicPr preferRelativeResize="1">
          <a:picLocks noChangeAspect="1"/>
        </xdr:cNvPicPr>
      </xdr:nvPicPr>
      <xdr:blipFill>
        <a:blip r:embed="rId3"/>
        <a:stretch>
          <a:fillRect/>
        </a:stretch>
      </xdr:blipFill>
      <xdr:spPr>
        <a:xfrm>
          <a:off x="1181100" y="4171950"/>
          <a:ext cx="152400" cy="161925"/>
        </a:xfrm>
        <a:prstGeom prst="rect">
          <a:avLst/>
        </a:prstGeom>
        <a:noFill/>
        <a:ln w="9525" cmpd="sng">
          <a:noFill/>
        </a:ln>
      </xdr:spPr>
    </xdr:pic>
    <xdr:clientData/>
  </xdr:twoCellAnchor>
  <xdr:twoCellAnchor editAs="oneCell">
    <xdr:from>
      <xdr:col>2</xdr:col>
      <xdr:colOff>57150</xdr:colOff>
      <xdr:row>3</xdr:row>
      <xdr:rowOff>0</xdr:rowOff>
    </xdr:from>
    <xdr:to>
      <xdr:col>2</xdr:col>
      <xdr:colOff>228600</xdr:colOff>
      <xdr:row>4</xdr:row>
      <xdr:rowOff>0</xdr:rowOff>
    </xdr:to>
    <xdr:pic>
      <xdr:nvPicPr>
        <xdr:cNvPr id="4" name="Picture 8"/>
        <xdr:cNvPicPr preferRelativeResize="1">
          <a:picLocks noChangeAspect="1"/>
        </xdr:cNvPicPr>
      </xdr:nvPicPr>
      <xdr:blipFill>
        <a:blip r:embed="rId4"/>
        <a:stretch>
          <a:fillRect/>
        </a:stretch>
      </xdr:blipFill>
      <xdr:spPr>
        <a:xfrm>
          <a:off x="1181100" y="619125"/>
          <a:ext cx="171450" cy="161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9</xdr:row>
      <xdr:rowOff>0</xdr:rowOff>
    </xdr:from>
    <xdr:to>
      <xdr:col>2</xdr:col>
      <xdr:colOff>209550</xdr:colOff>
      <xdr:row>10</xdr:row>
      <xdr:rowOff>0</xdr:rowOff>
    </xdr:to>
    <xdr:pic>
      <xdr:nvPicPr>
        <xdr:cNvPr id="1" name="Picture 6"/>
        <xdr:cNvPicPr preferRelativeResize="1">
          <a:picLocks noChangeAspect="1"/>
        </xdr:cNvPicPr>
      </xdr:nvPicPr>
      <xdr:blipFill>
        <a:blip r:embed="rId1"/>
        <a:stretch>
          <a:fillRect/>
        </a:stretch>
      </xdr:blipFill>
      <xdr:spPr>
        <a:xfrm>
          <a:off x="1171575" y="1590675"/>
          <a:ext cx="161925" cy="161925"/>
        </a:xfrm>
        <a:prstGeom prst="rect">
          <a:avLst/>
        </a:prstGeom>
        <a:noFill/>
        <a:ln w="9525" cmpd="sng">
          <a:noFill/>
        </a:ln>
      </xdr:spPr>
    </xdr:pic>
    <xdr:clientData/>
  </xdr:twoCellAnchor>
  <xdr:twoCellAnchor editAs="oneCell">
    <xdr:from>
      <xdr:col>2</xdr:col>
      <xdr:colOff>38100</xdr:colOff>
      <xdr:row>16</xdr:row>
      <xdr:rowOff>152400</xdr:rowOff>
    </xdr:from>
    <xdr:to>
      <xdr:col>2</xdr:col>
      <xdr:colOff>219075</xdr:colOff>
      <xdr:row>18</xdr:row>
      <xdr:rowOff>9525</xdr:rowOff>
    </xdr:to>
    <xdr:pic>
      <xdr:nvPicPr>
        <xdr:cNvPr id="2" name="Picture 7"/>
        <xdr:cNvPicPr preferRelativeResize="1">
          <a:picLocks noChangeAspect="1"/>
        </xdr:cNvPicPr>
      </xdr:nvPicPr>
      <xdr:blipFill>
        <a:blip r:embed="rId2"/>
        <a:stretch>
          <a:fillRect/>
        </a:stretch>
      </xdr:blipFill>
      <xdr:spPr>
        <a:xfrm>
          <a:off x="1162050" y="2876550"/>
          <a:ext cx="180975" cy="180975"/>
        </a:xfrm>
        <a:prstGeom prst="rect">
          <a:avLst/>
        </a:prstGeom>
        <a:noFill/>
        <a:ln w="9525" cmpd="sng">
          <a:noFill/>
        </a:ln>
      </xdr:spPr>
    </xdr:pic>
    <xdr:clientData/>
  </xdr:twoCellAnchor>
  <xdr:twoCellAnchor editAs="oneCell">
    <xdr:from>
      <xdr:col>2</xdr:col>
      <xdr:colOff>38100</xdr:colOff>
      <xdr:row>25</xdr:row>
      <xdr:rowOff>9525</xdr:rowOff>
    </xdr:from>
    <xdr:to>
      <xdr:col>2</xdr:col>
      <xdr:colOff>190500</xdr:colOff>
      <xdr:row>26</xdr:row>
      <xdr:rowOff>9525</xdr:rowOff>
    </xdr:to>
    <xdr:pic>
      <xdr:nvPicPr>
        <xdr:cNvPr id="3" name="Picture 8"/>
        <xdr:cNvPicPr preferRelativeResize="1">
          <a:picLocks noChangeAspect="1"/>
        </xdr:cNvPicPr>
      </xdr:nvPicPr>
      <xdr:blipFill>
        <a:blip r:embed="rId3"/>
        <a:stretch>
          <a:fillRect/>
        </a:stretch>
      </xdr:blipFill>
      <xdr:spPr>
        <a:xfrm>
          <a:off x="1162050" y="4191000"/>
          <a:ext cx="152400" cy="161925"/>
        </a:xfrm>
        <a:prstGeom prst="rect">
          <a:avLst/>
        </a:prstGeom>
        <a:noFill/>
        <a:ln w="9525" cmpd="sng">
          <a:noFill/>
        </a:ln>
      </xdr:spPr>
    </xdr:pic>
    <xdr:clientData/>
  </xdr:twoCellAnchor>
  <xdr:twoCellAnchor editAs="oneCell">
    <xdr:from>
      <xdr:col>2</xdr:col>
      <xdr:colOff>47625</xdr:colOff>
      <xdr:row>2</xdr:row>
      <xdr:rowOff>152400</xdr:rowOff>
    </xdr:from>
    <xdr:to>
      <xdr:col>2</xdr:col>
      <xdr:colOff>219075</xdr:colOff>
      <xdr:row>3</xdr:row>
      <xdr:rowOff>152400</xdr:rowOff>
    </xdr:to>
    <xdr:pic>
      <xdr:nvPicPr>
        <xdr:cNvPr id="4" name="Picture 9"/>
        <xdr:cNvPicPr preferRelativeResize="1">
          <a:picLocks noChangeAspect="1"/>
        </xdr:cNvPicPr>
      </xdr:nvPicPr>
      <xdr:blipFill>
        <a:blip r:embed="rId4"/>
        <a:stretch>
          <a:fillRect/>
        </a:stretch>
      </xdr:blipFill>
      <xdr:spPr>
        <a:xfrm>
          <a:off x="1171575" y="609600"/>
          <a:ext cx="171450" cy="161925"/>
        </a:xfrm>
        <a:prstGeom prst="rect">
          <a:avLst/>
        </a:prstGeom>
        <a:noFill/>
        <a:ln w="9525" cmpd="sng">
          <a:noFill/>
        </a:ln>
      </xdr:spPr>
    </xdr:pic>
    <xdr:clientData/>
  </xdr:twoCellAnchor>
  <xdr:twoCellAnchor editAs="oneCell">
    <xdr:from>
      <xdr:col>2</xdr:col>
      <xdr:colOff>38100</xdr:colOff>
      <xdr:row>32</xdr:row>
      <xdr:rowOff>9525</xdr:rowOff>
    </xdr:from>
    <xdr:to>
      <xdr:col>2</xdr:col>
      <xdr:colOff>209550</xdr:colOff>
      <xdr:row>33</xdr:row>
      <xdr:rowOff>9525</xdr:rowOff>
    </xdr:to>
    <xdr:pic>
      <xdr:nvPicPr>
        <xdr:cNvPr id="5" name="Picture 9"/>
        <xdr:cNvPicPr preferRelativeResize="1">
          <a:picLocks noChangeAspect="1"/>
        </xdr:cNvPicPr>
      </xdr:nvPicPr>
      <xdr:blipFill>
        <a:blip r:embed="rId4"/>
        <a:stretch>
          <a:fillRect/>
        </a:stretch>
      </xdr:blipFill>
      <xdr:spPr>
        <a:xfrm>
          <a:off x="1162050" y="5324475"/>
          <a:ext cx="171450" cy="161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57150</xdr:rowOff>
    </xdr:from>
    <xdr:ext cx="6115050" cy="9772650"/>
    <xdr:sp>
      <xdr:nvSpPr>
        <xdr:cNvPr id="1" name="Text Box 3"/>
        <xdr:cNvSpPr txBox="1">
          <a:spLocks noChangeArrowheads="1"/>
        </xdr:cNvSpPr>
      </xdr:nvSpPr>
      <xdr:spPr>
        <a:xfrm>
          <a:off x="95250" y="57150"/>
          <a:ext cx="6115050" cy="97726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Computus Digitorum -</a:t>
          </a:r>
          <a:r>
            <a:rPr lang="en-US" cap="none" sz="1000" b="1" i="0" u="none" baseline="0">
              <a:solidFill>
                <a:srgbClr val="000000"/>
              </a:solidFill>
              <a:latin typeface="Arial"/>
              <a:ea typeface="Arial"/>
              <a:cs typeface="Arial"/>
            </a:rPr>
            <a:t> Modern Medieval Liturgical Calendar v1.1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calendar is a project that I have produced annually for my personal use since 1999. The epiphany that makes the 2004/5 version special was the discovery of a VBA routine to calculate the times of sunrise and sunset. Prior to this, to figure the Canonical hours, I had to enter each sunrise and set time individually - a royal pain, as you might imagine. After entering the automated sunrise and set routine, I decided to play with more automations. In just over 24 hours, the calendar went from almost total manual entry to almost all calculated. All the user needs to do is enter the latitude, longitude, and time zone.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Updated Jan 07 for new Daylight Saving Time dates in the US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What's calculated automatically: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Date (column A)
</a:t>
          </a:r>
          <a:r>
            <a:rPr lang="en-US" cap="none" sz="1000" b="0" i="0" u="none" baseline="0">
              <a:solidFill>
                <a:srgbClr val="000000"/>
              </a:solidFill>
              <a:latin typeface="Arial"/>
              <a:ea typeface="Arial"/>
              <a:cs typeface="Arial"/>
            </a:rPr>
            <a:t>   2. The day of the week (column B)
</a:t>
          </a:r>
          <a:r>
            <a:rPr lang="en-US" cap="none" sz="1000" b="0" i="0" u="none" baseline="0">
              <a:solidFill>
                <a:srgbClr val="000000"/>
              </a:solidFill>
              <a:latin typeface="Arial"/>
              <a:ea typeface="Arial"/>
              <a:cs typeface="Arial"/>
            </a:rPr>
            <a:t>   3. The Golden Number (column D), used to determine Paschal New Moon
</a:t>
          </a:r>
          <a:r>
            <a:rPr lang="en-US" cap="none" sz="1000" b="0" i="0" u="none" baseline="0">
              <a:solidFill>
                <a:srgbClr val="000000"/>
              </a:solidFill>
              <a:latin typeface="Arial"/>
              <a:ea typeface="Arial"/>
              <a:cs typeface="Arial"/>
            </a:rPr>
            <a:t>   4. The Dominical Letter (column E, Sunday highlighted in red)
</a:t>
          </a:r>
          <a:r>
            <a:rPr lang="en-US" cap="none" sz="1000" b="0" i="0" u="none" baseline="0">
              <a:solidFill>
                <a:srgbClr val="000000"/>
              </a:solidFill>
              <a:latin typeface="Arial"/>
              <a:ea typeface="Arial"/>
              <a:cs typeface="Arial"/>
            </a:rPr>
            <a:t>   5. Roman-style date (column F)
</a:t>
          </a:r>
          <a:r>
            <a:rPr lang="en-US" cap="none" sz="1000" b="0" i="0" u="none" baseline="0">
              <a:solidFill>
                <a:srgbClr val="000000"/>
              </a:solidFill>
              <a:latin typeface="Arial"/>
              <a:ea typeface="Arial"/>
              <a:cs typeface="Arial"/>
            </a:rPr>
            <a:t>   6. Times for stylized Canonical Hours (columns H - O)
</a:t>
          </a:r>
          <a:r>
            <a:rPr lang="en-US" cap="none" sz="1000" b="0" i="0" u="none" baseline="0">
              <a:solidFill>
                <a:srgbClr val="000000"/>
              </a:solidFill>
              <a:latin typeface="Arial"/>
              <a:ea typeface="Arial"/>
              <a:cs typeface="Arial"/>
            </a:rPr>
            <a:t>   7. Sunrise, sunset, length of night and day, length of unequal hours (columns P - U)
</a:t>
          </a:r>
          <a:r>
            <a:rPr lang="en-US" cap="none" sz="1000" b="0" i="0" u="none" baseline="0">
              <a:solidFill>
                <a:srgbClr val="000000"/>
              </a:solidFill>
              <a:latin typeface="Arial"/>
              <a:ea typeface="Arial"/>
              <a:cs typeface="Arial"/>
            </a:rPr>
            <a:t>   8. Properly adjusts for US Daylight Saving Time (2007 rules)
</a:t>
          </a:r>
          <a:r>
            <a:rPr lang="en-US" cap="none" sz="1000" b="0" i="0" u="none" baseline="0">
              <a:solidFill>
                <a:srgbClr val="000000"/>
              </a:solidFill>
              <a:latin typeface="Arial"/>
              <a:ea typeface="Arial"/>
              <a:cs typeface="Arial"/>
            </a:rPr>
            <a:t>   9. Leap years are handled appropriately
</a:t>
          </a:r>
          <a:r>
            <a:rPr lang="en-US" cap="none" sz="1000" b="0" i="0" u="none" baseline="0">
              <a:solidFill>
                <a:srgbClr val="000000"/>
              </a:solidFill>
              <a:latin typeface="Arial"/>
              <a:ea typeface="Arial"/>
              <a:cs typeface="Arial"/>
            </a:rPr>
            <a:t> 10. The date of the Paschal New Moon (red, bold, italic Roman numeral in column D in March or April)
</a:t>
          </a:r>
          <a:r>
            <a:rPr lang="en-US" cap="none" sz="1000" b="0" i="0" u="none" baseline="0">
              <a:solidFill>
                <a:srgbClr val="000000"/>
              </a:solidFill>
              <a:latin typeface="Arial"/>
              <a:ea typeface="Arial"/>
              <a:cs typeface="Arial"/>
            </a:rPr>
            <a:t> 11. Date of the Paschal Full Moon (red box in column D in March or April, 13 days after Paschal New Moon).
</a:t>
          </a:r>
          <a:r>
            <a:rPr lang="en-US" cap="none" sz="1000" b="0" i="0" u="none" baseline="0">
              <a:solidFill>
                <a:srgbClr val="000000"/>
              </a:solidFill>
              <a:latin typeface="Arial"/>
              <a:ea typeface="Arial"/>
              <a:cs typeface="Arial"/>
            </a:rPr>
            <a:t>      The Sunday following this date is Easter.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Calculated, but not automatically placed into calendar: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Date of Easter (Location and Movable Feasts sheets)
</a:t>
          </a:r>
          <a:r>
            <a:rPr lang="en-US" cap="none" sz="1000" b="0" i="0" u="none" baseline="0">
              <a:solidFill>
                <a:srgbClr val="000000"/>
              </a:solidFill>
              <a:latin typeface="Arial"/>
              <a:ea typeface="Arial"/>
              <a:cs typeface="Arial"/>
            </a:rPr>
            <a:t>   2. Dates of other movable feasts based on date of Easter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Things that still have to be entered manually: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Saint's days, feasts, and liturgical colors in column G
</a:t>
          </a:r>
          <a:r>
            <a:rPr lang="en-US" cap="none" sz="1000" b="0" i="0" u="none" baseline="0">
              <a:solidFill>
                <a:srgbClr val="000000"/>
              </a:solidFill>
              <a:latin typeface="Arial"/>
              <a:ea typeface="Arial"/>
              <a:cs typeface="Arial"/>
            </a:rPr>
            <a:t>   2. Lunar phases (column 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 fill in the Calendar:
</a:t>
          </a:r>
          <a:r>
            <a:rPr lang="en-US" cap="none" sz="1000" b="1" i="0" u="none" baseline="0">
              <a:solidFill>
                <a:srgbClr val="000000"/>
              </a:solidFill>
              <a:latin typeface="Arial"/>
              <a:ea typeface="Arial"/>
              <a:cs typeface="Arial"/>
            </a:rPr>
            <a:t>  (Note: Always work on a copy of the generic Computus Digitorum.xls! You'll thank me next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 Set the correct year in the location tab.
</a:t>
          </a:r>
          <a:r>
            <a:rPr lang="en-US" cap="none" sz="1000" b="0" i="0" u="none" baseline="0">
              <a:solidFill>
                <a:srgbClr val="000000"/>
              </a:solidFill>
              <a:latin typeface="Arial"/>
              <a:ea typeface="Arial"/>
              <a:cs typeface="Arial"/>
            </a:rPr>
            <a:t>  2. Move any of the fixed feasts that fall on Sunday to the following Monday (except Christmas). Use 
</a:t>
          </a:r>
          <a:r>
            <a:rPr lang="en-US" cap="none" sz="1000" b="0" i="0" u="none" baseline="0">
              <a:solidFill>
                <a:srgbClr val="000000"/>
              </a:solidFill>
              <a:latin typeface="Arial"/>
              <a:ea typeface="Arial"/>
              <a:cs typeface="Arial"/>
            </a:rPr>
            <a:t>     Copy/Paste rather than Cut/Paste (messes with formatting). Consider marking feast as “transferred”.
</a:t>
          </a:r>
          <a:r>
            <a:rPr lang="en-US" cap="none" sz="1000" b="0" i="0" u="none" baseline="0">
              <a:solidFill>
                <a:srgbClr val="000000"/>
              </a:solidFill>
              <a:latin typeface="Arial"/>
              <a:ea typeface="Arial"/>
              <a:cs typeface="Arial"/>
            </a:rPr>
            <a:t>  3. Put in the movable feasts, moving any fixed feasts one day later if necessary (Don't move feasts for 
</a:t>
          </a:r>
          <a:r>
            <a:rPr lang="en-US" cap="none" sz="1000" b="0" i="0" u="none" baseline="0">
              <a:solidFill>
                <a:srgbClr val="000000"/>
              </a:solidFill>
              <a:latin typeface="Arial"/>
              <a:ea typeface="Arial"/>
              <a:cs typeface="Arial"/>
            </a:rPr>
            <a:t>      Ember or Rogation days).
</a:t>
          </a:r>
          <a:r>
            <a:rPr lang="en-US" cap="none" sz="1000" b="0" i="0" u="none" baseline="0">
              <a:solidFill>
                <a:srgbClr val="000000"/>
              </a:solidFill>
              <a:latin typeface="Arial"/>
              <a:ea typeface="Arial"/>
              <a:cs typeface="Arial"/>
            </a:rPr>
            <a:t>  4. Label the Sundays in January prior to Epiphany as Sundays after Christmas.
</a:t>
          </a:r>
          <a:r>
            <a:rPr lang="en-US" cap="none" sz="1000" b="0" i="0" u="none" baseline="0">
              <a:solidFill>
                <a:srgbClr val="000000"/>
              </a:solidFill>
              <a:latin typeface="Arial"/>
              <a:ea typeface="Arial"/>
              <a:cs typeface="Arial"/>
            </a:rPr>
            <a:t>  5. Common days prior to Epiphany are white.
</a:t>
          </a:r>
          <a:r>
            <a:rPr lang="en-US" cap="none" sz="1000" b="0" i="0" u="none" baseline="0">
              <a:solidFill>
                <a:srgbClr val="000000"/>
              </a:solidFill>
              <a:latin typeface="Arial"/>
              <a:ea typeface="Arial"/>
              <a:cs typeface="Arial"/>
            </a:rPr>
            <a:t>  6. Common days from Epiphany to Ash Wednesday are green.
</a:t>
          </a:r>
          <a:r>
            <a:rPr lang="en-US" cap="none" sz="1000" b="0" i="0" u="none" baseline="0">
              <a:solidFill>
                <a:srgbClr val="000000"/>
              </a:solidFill>
              <a:latin typeface="Arial"/>
              <a:ea typeface="Arial"/>
              <a:cs typeface="Arial"/>
            </a:rPr>
            <a:t>  7. The first Sunday after Epiphany is the Baptism of Christ (white).
</a:t>
          </a:r>
          <a:r>
            <a:rPr lang="en-US" cap="none" sz="1000" b="0" i="0" u="none" baseline="0">
              <a:solidFill>
                <a:srgbClr val="000000"/>
              </a:solidFill>
              <a:latin typeface="Arial"/>
              <a:ea typeface="Arial"/>
              <a:cs typeface="Arial"/>
            </a:rPr>
            <a:t>  8. Remaining Sundays prior to Ash Wednesday are “Nth Sunday after Epiphany”. The Sunday just prior to 
</a:t>
          </a:r>
          <a:r>
            <a:rPr lang="en-US" cap="none" sz="1000" b="0" i="0" u="none" baseline="0">
              <a:solidFill>
                <a:srgbClr val="000000"/>
              </a:solidFill>
              <a:latin typeface="Arial"/>
              <a:ea typeface="Arial"/>
              <a:cs typeface="Arial"/>
            </a:rPr>
            <a:t>      Ash Wednesday is “Last Sunday after Epiphany”. All are green.  
</a:t>
          </a:r>
          <a:r>
            <a:rPr lang="en-US" cap="none" sz="1000" b="0" i="0" u="none" baseline="0">
              <a:solidFill>
                <a:srgbClr val="000000"/>
              </a:solidFill>
              <a:latin typeface="Arial"/>
              <a:ea typeface="Arial"/>
              <a:cs typeface="Arial"/>
            </a:rPr>
            <a:t>  9. Starting with Ash Wednesday, common days are purple
</a:t>
          </a:r>
          <a:r>
            <a:rPr lang="en-US" cap="none" sz="1000" b="0" i="0" u="none" baseline="0">
              <a:solidFill>
                <a:srgbClr val="000000"/>
              </a:solidFill>
              <a:latin typeface="Arial"/>
              <a:ea typeface="Arial"/>
              <a:cs typeface="Arial"/>
            </a:rPr>
            <a:t>10. Sundays in Lent are “Nth Sunday in Lent” up to Palm Sunday. They are purple.
</a:t>
          </a:r>
          <a:r>
            <a:rPr lang="en-US" cap="none" sz="1000" b="0" i="0" u="none" baseline="0">
              <a:solidFill>
                <a:srgbClr val="000000"/>
              </a:solidFill>
              <a:latin typeface="Arial"/>
              <a:ea typeface="Arial"/>
              <a:cs typeface="Arial"/>
            </a:rPr>
            <a:t>11. Palm Sunday through Holy Saturday are red or purple. Good Friday may be black. 
</a:t>
          </a:r>
          <a:r>
            <a:rPr lang="en-US" cap="none" sz="1000" b="0" i="0" u="none" baseline="0">
              <a:solidFill>
                <a:srgbClr val="000000"/>
              </a:solidFill>
              <a:latin typeface="Arial"/>
              <a:ea typeface="Arial"/>
              <a:cs typeface="Arial"/>
            </a:rPr>
            <a:t>12. Easter through Pentecost is white. 
</a:t>
          </a:r>
          <a:r>
            <a:rPr lang="en-US" cap="none" sz="1000" b="0" i="0" u="none" baseline="0">
              <a:solidFill>
                <a:srgbClr val="000000"/>
              </a:solidFill>
              <a:latin typeface="Arial"/>
              <a:ea typeface="Arial"/>
              <a:cs typeface="Arial"/>
            </a:rPr>
            <a:t>13. The Sunday after Easter is the “Second Sunday of Easter” and numbered sequentially through the Sunday
</a:t>
          </a:r>
          <a:r>
            <a:rPr lang="en-US" cap="none" sz="1000" b="0" i="0" u="none" baseline="0">
              <a:solidFill>
                <a:srgbClr val="000000"/>
              </a:solidFill>
              <a:latin typeface="Arial"/>
              <a:ea typeface="Arial"/>
              <a:cs typeface="Arial"/>
            </a:rPr>
            <a:t>      before Pentecost.
</a:t>
          </a:r>
          <a:r>
            <a:rPr lang="en-US" cap="none" sz="1000" b="0" i="0" u="none" baseline="0">
              <a:solidFill>
                <a:srgbClr val="000000"/>
              </a:solidFill>
              <a:latin typeface="Arial"/>
              <a:ea typeface="Arial"/>
              <a:cs typeface="Arial"/>
            </a:rPr>
            <a:t>14. Pentecost is red.
</a:t>
          </a:r>
          <a:r>
            <a:rPr lang="en-US" cap="none" sz="1000" b="0" i="0" u="none" baseline="0">
              <a:solidFill>
                <a:srgbClr val="000000"/>
              </a:solidFill>
              <a:latin typeface="Arial"/>
              <a:ea typeface="Arial"/>
              <a:cs typeface="Arial"/>
            </a:rPr>
            <a:t>15. Common days and Sundays after Pentecost are green. This season goes all the way to Advent.
</a:t>
          </a:r>
          <a:r>
            <a:rPr lang="en-US" cap="none" sz="1000" b="0" i="0" u="none" baseline="0">
              <a:solidFill>
                <a:srgbClr val="000000"/>
              </a:solidFill>
              <a:latin typeface="Arial"/>
              <a:ea typeface="Arial"/>
              <a:cs typeface="Arial"/>
            </a:rPr>
            <a:t>16. The Sunday after Pentecost is Trinity Sunday (white).
</a:t>
          </a:r>
          <a:r>
            <a:rPr lang="en-US" cap="none" sz="1000" b="0" i="0" u="none" baseline="0">
              <a:solidFill>
                <a:srgbClr val="000000"/>
              </a:solidFill>
              <a:latin typeface="Arial"/>
              <a:ea typeface="Arial"/>
              <a:cs typeface="Arial"/>
            </a:rPr>
            <a:t>17. Sundays after Trinity Sunday start with “Second Sunday after Pentecost” and are numbered in sequence.
</a:t>
          </a:r>
          <a:r>
            <a:rPr lang="en-US" cap="none" sz="1000" b="0" i="0" u="none" baseline="0">
              <a:solidFill>
                <a:srgbClr val="000000"/>
              </a:solidFill>
              <a:latin typeface="Arial"/>
              <a:ea typeface="Arial"/>
              <a:cs typeface="Arial"/>
            </a:rPr>
            <a:t>18. Common days and Sundays in Advent are Purple. Advent III may use pink.
</a:t>
          </a:r>
          <a:r>
            <a:rPr lang="en-US" cap="none" sz="1000" b="0" i="0" u="none" baseline="0">
              <a:solidFill>
                <a:srgbClr val="000000"/>
              </a:solidFill>
              <a:latin typeface="Arial"/>
              <a:ea typeface="Arial"/>
              <a:cs typeface="Arial"/>
            </a:rPr>
            <a:t>19. Christmas to the end of the year is white.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Galen of Ockam, MC, OP
</a:t>
          </a:r>
          <a:r>
            <a:rPr lang="en-US" cap="none" sz="1000" b="0" i="0" u="none" baseline="0">
              <a:solidFill>
                <a:srgbClr val="000000"/>
              </a:solidFill>
              <a:latin typeface="Arial"/>
              <a:ea typeface="Arial"/>
              <a:cs typeface="Arial"/>
            </a:rPr>
            <a:t>St. John's Day, AS XXXIX
</a:t>
          </a:r>
          <a:r>
            <a:rPr lang="en-US" cap="none" sz="1000" b="0" i="0" u="none" baseline="0">
              <a:solidFill>
                <a:srgbClr val="000000"/>
              </a:solidFill>
              <a:latin typeface="Arial"/>
              <a:ea typeface="Arial"/>
              <a:cs typeface="Arial"/>
            </a:rPr>
            <a:t>galen@chirurgeon.org</a:t>
          </a:r>
          <a:r>
            <a:rPr lang="en-US" cap="none" sz="1000" b="0" i="1" u="none" baseline="0">
              <a:solidFill>
                <a:srgbClr val="000000"/>
              </a:solidFill>
              <a:latin typeface="Arial"/>
              <a:ea typeface="Arial"/>
              <a:cs typeface="Arial"/>
            </a:rPr>
            <a:t>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9</xdr:row>
      <xdr:rowOff>47625</xdr:rowOff>
    </xdr:from>
    <xdr:ext cx="5172075" cy="3724275"/>
    <xdr:sp>
      <xdr:nvSpPr>
        <xdr:cNvPr id="1" name="Text Box 1"/>
        <xdr:cNvSpPr txBox="1">
          <a:spLocks noChangeArrowheads="1"/>
        </xdr:cNvSpPr>
      </xdr:nvSpPr>
      <xdr:spPr>
        <a:xfrm>
          <a:off x="152400" y="1504950"/>
          <a:ext cx="5172075" cy="37242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Calculation of local times of sunrise, and sunset based on the calculation procedure by NOAA (http://www.srrb.noaa.gov/highlights/sunrise/sunrise.html)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The calculations in the NOAA Sunrise/Sunset are based on equations from Astronomical Algorithms, by Jean Meeus. NOAA also included atmospheric refraction effects. The sunrise and sunset results were reported by NOAA to be accurate to within +/- 1 minute for locations between +/- 72° latitude, and within ten minutes outside of those latitudes.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This Excel VBA translation was tested for selected locations and found to provide results within +/- 1 minute of the original NOAA Javascript code.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This VBA translation does not include calculation of prior or next susets for locations above the Arctic Circle and below the Antarctic Circle, when a sunrise or sunset does not occur.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Translated from NOAA's Javascript to Excel VBA by: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Greg Pelletier
</a:t>
          </a:r>
          <a:r>
            <a:rPr lang="en-US" cap="none" sz="1000" b="0" i="1" u="none" baseline="0">
              <a:solidFill>
                <a:srgbClr val="000000"/>
              </a:solidFill>
              <a:latin typeface="Arial"/>
              <a:ea typeface="Arial"/>
              <a:cs typeface="Arial"/>
            </a:rPr>
            <a:t>Olympia, WA
</a:t>
          </a:r>
          <a:r>
            <a:rPr lang="en-US" cap="none" sz="1000" b="0" i="1" u="none" baseline="0">
              <a:solidFill>
                <a:srgbClr val="000000"/>
              </a:solidFill>
              <a:latin typeface="Arial"/>
              <a:ea typeface="Arial"/>
              <a:cs typeface="Arial"/>
            </a:rPr>
            <a:t>e-mail: pelican@vei.net
</a:t>
          </a:r>
          <a:r>
            <a:rPr lang="en-US" cap="none" sz="1000" b="0" i="1" u="none" baseline="0">
              <a:solidFill>
                <a:srgbClr val="000000"/>
              </a:solidFill>
              <a:latin typeface="Arial"/>
              <a:ea typeface="Arial"/>
              <a:cs typeface="Arial"/>
            </a:rPr>
            <a:t>http://users.vei.net/pelican/sunrise.html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Used with permission
</a:t>
          </a:r>
        </a:p>
      </xdr:txBody>
    </xdr:sp>
    <xdr:clientData/>
  </xdr:oneCellAnchor>
  <xdr:oneCellAnchor>
    <xdr:from>
      <xdr:col>0</xdr:col>
      <xdr:colOff>200025</xdr:colOff>
      <xdr:row>0</xdr:row>
      <xdr:rowOff>114300</xdr:rowOff>
    </xdr:from>
    <xdr:ext cx="5334000" cy="1323975"/>
    <xdr:sp>
      <xdr:nvSpPr>
        <xdr:cNvPr id="2" name="Text Box 2"/>
        <xdr:cNvSpPr txBox="1">
          <a:spLocks noChangeArrowheads="1"/>
        </xdr:cNvSpPr>
      </xdr:nvSpPr>
      <xdr:spPr>
        <a:xfrm>
          <a:off x="200025" y="114300"/>
          <a:ext cx="5334000" cy="1323975"/>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Computus Digitorum - </a:t>
          </a:r>
          <a:r>
            <a:rPr lang="en-US" cap="none" sz="1000" b="1" i="0" u="none" baseline="0">
              <a:solidFill>
                <a:srgbClr val="000000"/>
              </a:solidFill>
              <a:latin typeface="Arial"/>
              <a:ea typeface="Arial"/>
              <a:cs typeface="Arial"/>
            </a:rPr>
            <a:t>Modern Medieval Liturgical Calendar v7 
</a:t>
          </a:r>
          <a:r>
            <a:rPr lang="en-US" cap="none" sz="1000" b="0" i="0" u="none" baseline="0">
              <a:solidFill>
                <a:srgbClr val="000000"/>
              </a:solidFill>
              <a:latin typeface="Arial"/>
              <a:ea typeface="Arial"/>
              <a:cs typeface="Arial"/>
            </a:rPr>
            <a:t>is Copyright © 1999 - 2005 by Keith E. Brandt, M.D.,
</a:t>
          </a:r>
          <a:r>
            <a:rPr lang="en-US" cap="none" sz="1000" b="0" i="0" u="none" baseline="0">
              <a:solidFill>
                <a:srgbClr val="000000"/>
              </a:solidFill>
              <a:latin typeface="Arial"/>
              <a:ea typeface="Arial"/>
              <a:cs typeface="Arial"/>
            </a:rPr>
            <a:t>All rights reserved. May be freely distributed for personal use. If you find this calendar useful and/or interesting, or if you have general comments and bug reports - I'd like to hear from you!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Galen of Ockam, MC, OP
</a:t>
          </a:r>
          <a:r>
            <a:rPr lang="en-US" cap="none" sz="1000" b="0" i="0" u="none" baseline="0">
              <a:solidFill>
                <a:srgbClr val="000000"/>
              </a:solidFill>
              <a:latin typeface="Arial"/>
              <a:ea typeface="Arial"/>
              <a:cs typeface="Arial"/>
            </a:rPr>
            <a:t>Midsummer's Eve, AS XXXIX
</a:t>
          </a:r>
          <a:r>
            <a:rPr lang="en-US" cap="none" sz="1000" b="0" i="0" u="none" baseline="0">
              <a:solidFill>
                <a:srgbClr val="000000"/>
              </a:solidFill>
              <a:latin typeface="Arial"/>
              <a:ea typeface="Arial"/>
              <a:cs typeface="Arial"/>
            </a:rPr>
            <a:t>galen@chirurgeon.org</a:t>
          </a:r>
          <a:r>
            <a:rPr lang="en-US" cap="none" sz="1000" b="0" i="1"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17</xdr:row>
      <xdr:rowOff>19050</xdr:rowOff>
    </xdr:from>
    <xdr:to>
      <xdr:col>2</xdr:col>
      <xdr:colOff>209550</xdr:colOff>
      <xdr:row>18</xdr:row>
      <xdr:rowOff>19050</xdr:rowOff>
    </xdr:to>
    <xdr:pic>
      <xdr:nvPicPr>
        <xdr:cNvPr id="1" name="Picture 9"/>
        <xdr:cNvPicPr preferRelativeResize="1">
          <a:picLocks noChangeAspect="1"/>
        </xdr:cNvPicPr>
      </xdr:nvPicPr>
      <xdr:blipFill>
        <a:blip r:embed="rId1"/>
        <a:stretch>
          <a:fillRect/>
        </a:stretch>
      </xdr:blipFill>
      <xdr:spPr>
        <a:xfrm>
          <a:off x="1171575" y="2905125"/>
          <a:ext cx="161925" cy="161925"/>
        </a:xfrm>
        <a:prstGeom prst="rect">
          <a:avLst/>
        </a:prstGeom>
        <a:noFill/>
        <a:ln w="9525" cmpd="sng">
          <a:noFill/>
        </a:ln>
      </xdr:spPr>
    </xdr:pic>
    <xdr:clientData/>
  </xdr:twoCellAnchor>
  <xdr:twoCellAnchor editAs="oneCell">
    <xdr:from>
      <xdr:col>2</xdr:col>
      <xdr:colOff>28575</xdr:colOff>
      <xdr:row>24</xdr:row>
      <xdr:rowOff>133350</xdr:rowOff>
    </xdr:from>
    <xdr:to>
      <xdr:col>2</xdr:col>
      <xdr:colOff>209550</xdr:colOff>
      <xdr:row>25</xdr:row>
      <xdr:rowOff>152400</xdr:rowOff>
    </xdr:to>
    <xdr:pic>
      <xdr:nvPicPr>
        <xdr:cNvPr id="2" name="Picture 10"/>
        <xdr:cNvPicPr preferRelativeResize="1">
          <a:picLocks noChangeAspect="1"/>
        </xdr:cNvPicPr>
      </xdr:nvPicPr>
      <xdr:blipFill>
        <a:blip r:embed="rId2"/>
        <a:stretch>
          <a:fillRect/>
        </a:stretch>
      </xdr:blipFill>
      <xdr:spPr>
        <a:xfrm>
          <a:off x="1152525" y="4152900"/>
          <a:ext cx="180975" cy="180975"/>
        </a:xfrm>
        <a:prstGeom prst="rect">
          <a:avLst/>
        </a:prstGeom>
        <a:noFill/>
        <a:ln w="9525" cmpd="sng">
          <a:noFill/>
        </a:ln>
      </xdr:spPr>
    </xdr:pic>
    <xdr:clientData/>
  </xdr:twoCellAnchor>
  <xdr:twoCellAnchor editAs="oneCell">
    <xdr:from>
      <xdr:col>2</xdr:col>
      <xdr:colOff>28575</xdr:colOff>
      <xdr:row>2</xdr:row>
      <xdr:rowOff>152400</xdr:rowOff>
    </xdr:from>
    <xdr:to>
      <xdr:col>2</xdr:col>
      <xdr:colOff>180975</xdr:colOff>
      <xdr:row>3</xdr:row>
      <xdr:rowOff>152400</xdr:rowOff>
    </xdr:to>
    <xdr:pic>
      <xdr:nvPicPr>
        <xdr:cNvPr id="3" name="Picture 11"/>
        <xdr:cNvPicPr preferRelativeResize="1">
          <a:picLocks noChangeAspect="1"/>
        </xdr:cNvPicPr>
      </xdr:nvPicPr>
      <xdr:blipFill>
        <a:blip r:embed="rId3"/>
        <a:stretch>
          <a:fillRect/>
        </a:stretch>
      </xdr:blipFill>
      <xdr:spPr>
        <a:xfrm>
          <a:off x="1152525" y="609600"/>
          <a:ext cx="152400" cy="161925"/>
        </a:xfrm>
        <a:prstGeom prst="rect">
          <a:avLst/>
        </a:prstGeom>
        <a:noFill/>
        <a:ln w="9525" cmpd="sng">
          <a:noFill/>
        </a:ln>
      </xdr:spPr>
    </xdr:pic>
    <xdr:clientData/>
  </xdr:twoCellAnchor>
  <xdr:twoCellAnchor editAs="oneCell">
    <xdr:from>
      <xdr:col>2</xdr:col>
      <xdr:colOff>19050</xdr:colOff>
      <xdr:row>10</xdr:row>
      <xdr:rowOff>0</xdr:rowOff>
    </xdr:from>
    <xdr:to>
      <xdr:col>2</xdr:col>
      <xdr:colOff>190500</xdr:colOff>
      <xdr:row>11</xdr:row>
      <xdr:rowOff>0</xdr:rowOff>
    </xdr:to>
    <xdr:pic>
      <xdr:nvPicPr>
        <xdr:cNvPr id="4" name="Picture 12"/>
        <xdr:cNvPicPr preferRelativeResize="1">
          <a:picLocks noChangeAspect="1"/>
        </xdr:cNvPicPr>
      </xdr:nvPicPr>
      <xdr:blipFill>
        <a:blip r:embed="rId4"/>
        <a:stretch>
          <a:fillRect/>
        </a:stretch>
      </xdr:blipFill>
      <xdr:spPr>
        <a:xfrm>
          <a:off x="1143000" y="1752600"/>
          <a:ext cx="1714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18</xdr:row>
      <xdr:rowOff>142875</xdr:rowOff>
    </xdr:from>
    <xdr:to>
      <xdr:col>2</xdr:col>
      <xdr:colOff>228600</xdr:colOff>
      <xdr:row>19</xdr:row>
      <xdr:rowOff>142875</xdr:rowOff>
    </xdr:to>
    <xdr:pic>
      <xdr:nvPicPr>
        <xdr:cNvPr id="1" name="Picture 5"/>
        <xdr:cNvPicPr preferRelativeResize="1">
          <a:picLocks noChangeAspect="1"/>
        </xdr:cNvPicPr>
      </xdr:nvPicPr>
      <xdr:blipFill>
        <a:blip r:embed="rId1"/>
        <a:stretch>
          <a:fillRect/>
        </a:stretch>
      </xdr:blipFill>
      <xdr:spPr>
        <a:xfrm>
          <a:off x="1190625" y="3190875"/>
          <a:ext cx="161925" cy="161925"/>
        </a:xfrm>
        <a:prstGeom prst="rect">
          <a:avLst/>
        </a:prstGeom>
        <a:noFill/>
        <a:ln w="9525" cmpd="sng">
          <a:noFill/>
        </a:ln>
      </xdr:spPr>
    </xdr:pic>
    <xdr:clientData/>
  </xdr:twoCellAnchor>
  <xdr:twoCellAnchor editAs="oneCell">
    <xdr:from>
      <xdr:col>2</xdr:col>
      <xdr:colOff>57150</xdr:colOff>
      <xdr:row>27</xdr:row>
      <xdr:rowOff>0</xdr:rowOff>
    </xdr:from>
    <xdr:to>
      <xdr:col>2</xdr:col>
      <xdr:colOff>238125</xdr:colOff>
      <xdr:row>28</xdr:row>
      <xdr:rowOff>19050</xdr:rowOff>
    </xdr:to>
    <xdr:pic>
      <xdr:nvPicPr>
        <xdr:cNvPr id="2" name="Picture 6"/>
        <xdr:cNvPicPr preferRelativeResize="1">
          <a:picLocks noChangeAspect="1"/>
        </xdr:cNvPicPr>
      </xdr:nvPicPr>
      <xdr:blipFill>
        <a:blip r:embed="rId2"/>
        <a:stretch>
          <a:fillRect/>
        </a:stretch>
      </xdr:blipFill>
      <xdr:spPr>
        <a:xfrm>
          <a:off x="1181100" y="4505325"/>
          <a:ext cx="180975" cy="180975"/>
        </a:xfrm>
        <a:prstGeom prst="rect">
          <a:avLst/>
        </a:prstGeom>
        <a:noFill/>
        <a:ln w="9525" cmpd="sng">
          <a:noFill/>
        </a:ln>
      </xdr:spPr>
    </xdr:pic>
    <xdr:clientData/>
  </xdr:twoCellAnchor>
  <xdr:twoCellAnchor editAs="oneCell">
    <xdr:from>
      <xdr:col>2</xdr:col>
      <xdr:colOff>57150</xdr:colOff>
      <xdr:row>5</xdr:row>
      <xdr:rowOff>0</xdr:rowOff>
    </xdr:from>
    <xdr:to>
      <xdr:col>2</xdr:col>
      <xdr:colOff>209550</xdr:colOff>
      <xdr:row>6</xdr:row>
      <xdr:rowOff>0</xdr:rowOff>
    </xdr:to>
    <xdr:pic>
      <xdr:nvPicPr>
        <xdr:cNvPr id="3" name="Picture 7"/>
        <xdr:cNvPicPr preferRelativeResize="1">
          <a:picLocks noChangeAspect="1"/>
        </xdr:cNvPicPr>
      </xdr:nvPicPr>
      <xdr:blipFill>
        <a:blip r:embed="rId3"/>
        <a:stretch>
          <a:fillRect/>
        </a:stretch>
      </xdr:blipFill>
      <xdr:spPr>
        <a:xfrm>
          <a:off x="1181100" y="942975"/>
          <a:ext cx="152400" cy="161925"/>
        </a:xfrm>
        <a:prstGeom prst="rect">
          <a:avLst/>
        </a:prstGeom>
        <a:noFill/>
        <a:ln w="9525" cmpd="sng">
          <a:noFill/>
        </a:ln>
      </xdr:spPr>
    </xdr:pic>
    <xdr:clientData/>
  </xdr:twoCellAnchor>
  <xdr:twoCellAnchor editAs="oneCell">
    <xdr:from>
      <xdr:col>2</xdr:col>
      <xdr:colOff>28575</xdr:colOff>
      <xdr:row>11</xdr:row>
      <xdr:rowOff>0</xdr:rowOff>
    </xdr:from>
    <xdr:to>
      <xdr:col>2</xdr:col>
      <xdr:colOff>200025</xdr:colOff>
      <xdr:row>12</xdr:row>
      <xdr:rowOff>0</xdr:rowOff>
    </xdr:to>
    <xdr:pic>
      <xdr:nvPicPr>
        <xdr:cNvPr id="4" name="Picture 8"/>
        <xdr:cNvPicPr preferRelativeResize="1">
          <a:picLocks noChangeAspect="1"/>
        </xdr:cNvPicPr>
      </xdr:nvPicPr>
      <xdr:blipFill>
        <a:blip r:embed="rId4"/>
        <a:stretch>
          <a:fillRect/>
        </a:stretch>
      </xdr:blipFill>
      <xdr:spPr>
        <a:xfrm>
          <a:off x="1152525" y="1914525"/>
          <a:ext cx="171450"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18</xdr:row>
      <xdr:rowOff>0</xdr:rowOff>
    </xdr:from>
    <xdr:to>
      <xdr:col>2</xdr:col>
      <xdr:colOff>209550</xdr:colOff>
      <xdr:row>19</xdr:row>
      <xdr:rowOff>0</xdr:rowOff>
    </xdr:to>
    <xdr:pic>
      <xdr:nvPicPr>
        <xdr:cNvPr id="1" name="Picture 5"/>
        <xdr:cNvPicPr preferRelativeResize="1">
          <a:picLocks noChangeAspect="1"/>
        </xdr:cNvPicPr>
      </xdr:nvPicPr>
      <xdr:blipFill>
        <a:blip r:embed="rId1"/>
        <a:stretch>
          <a:fillRect/>
        </a:stretch>
      </xdr:blipFill>
      <xdr:spPr>
        <a:xfrm>
          <a:off x="1171575" y="3048000"/>
          <a:ext cx="161925" cy="161925"/>
        </a:xfrm>
        <a:prstGeom prst="rect">
          <a:avLst/>
        </a:prstGeom>
        <a:noFill/>
        <a:ln w="9525" cmpd="sng">
          <a:noFill/>
        </a:ln>
      </xdr:spPr>
    </xdr:pic>
    <xdr:clientData/>
  </xdr:twoCellAnchor>
  <xdr:twoCellAnchor editAs="oneCell">
    <xdr:from>
      <xdr:col>2</xdr:col>
      <xdr:colOff>47625</xdr:colOff>
      <xdr:row>25</xdr:row>
      <xdr:rowOff>0</xdr:rowOff>
    </xdr:from>
    <xdr:to>
      <xdr:col>2</xdr:col>
      <xdr:colOff>228600</xdr:colOff>
      <xdr:row>26</xdr:row>
      <xdr:rowOff>19050</xdr:rowOff>
    </xdr:to>
    <xdr:pic>
      <xdr:nvPicPr>
        <xdr:cNvPr id="2" name="Picture 6"/>
        <xdr:cNvPicPr preferRelativeResize="1">
          <a:picLocks noChangeAspect="1"/>
        </xdr:cNvPicPr>
      </xdr:nvPicPr>
      <xdr:blipFill>
        <a:blip r:embed="rId2"/>
        <a:stretch>
          <a:fillRect/>
        </a:stretch>
      </xdr:blipFill>
      <xdr:spPr>
        <a:xfrm>
          <a:off x="1171575" y="4181475"/>
          <a:ext cx="180975" cy="180975"/>
        </a:xfrm>
        <a:prstGeom prst="rect">
          <a:avLst/>
        </a:prstGeom>
        <a:noFill/>
        <a:ln w="9525" cmpd="sng">
          <a:noFill/>
        </a:ln>
      </xdr:spPr>
    </xdr:pic>
    <xdr:clientData/>
  </xdr:twoCellAnchor>
  <xdr:twoCellAnchor editAs="oneCell">
    <xdr:from>
      <xdr:col>2</xdr:col>
      <xdr:colOff>47625</xdr:colOff>
      <xdr:row>3</xdr:row>
      <xdr:rowOff>9525</xdr:rowOff>
    </xdr:from>
    <xdr:to>
      <xdr:col>2</xdr:col>
      <xdr:colOff>200025</xdr:colOff>
      <xdr:row>4</xdr:row>
      <xdr:rowOff>9525</xdr:rowOff>
    </xdr:to>
    <xdr:pic>
      <xdr:nvPicPr>
        <xdr:cNvPr id="3" name="Picture 7"/>
        <xdr:cNvPicPr preferRelativeResize="1">
          <a:picLocks noChangeAspect="1"/>
        </xdr:cNvPicPr>
      </xdr:nvPicPr>
      <xdr:blipFill>
        <a:blip r:embed="rId3"/>
        <a:stretch>
          <a:fillRect/>
        </a:stretch>
      </xdr:blipFill>
      <xdr:spPr>
        <a:xfrm>
          <a:off x="1171575" y="628650"/>
          <a:ext cx="152400" cy="161925"/>
        </a:xfrm>
        <a:prstGeom prst="rect">
          <a:avLst/>
        </a:prstGeom>
        <a:noFill/>
        <a:ln w="9525" cmpd="sng">
          <a:noFill/>
        </a:ln>
      </xdr:spPr>
    </xdr:pic>
    <xdr:clientData/>
  </xdr:twoCellAnchor>
  <xdr:twoCellAnchor editAs="oneCell">
    <xdr:from>
      <xdr:col>2</xdr:col>
      <xdr:colOff>57150</xdr:colOff>
      <xdr:row>10</xdr:row>
      <xdr:rowOff>9525</xdr:rowOff>
    </xdr:from>
    <xdr:to>
      <xdr:col>2</xdr:col>
      <xdr:colOff>228600</xdr:colOff>
      <xdr:row>11</xdr:row>
      <xdr:rowOff>9525</xdr:rowOff>
    </xdr:to>
    <xdr:pic>
      <xdr:nvPicPr>
        <xdr:cNvPr id="4" name="Picture 8"/>
        <xdr:cNvPicPr preferRelativeResize="1">
          <a:picLocks noChangeAspect="1"/>
        </xdr:cNvPicPr>
      </xdr:nvPicPr>
      <xdr:blipFill>
        <a:blip r:embed="rId4"/>
        <a:stretch>
          <a:fillRect/>
        </a:stretch>
      </xdr:blipFill>
      <xdr:spPr>
        <a:xfrm>
          <a:off x="1181100" y="1762125"/>
          <a:ext cx="17145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17</xdr:row>
      <xdr:rowOff>161925</xdr:rowOff>
    </xdr:from>
    <xdr:to>
      <xdr:col>2</xdr:col>
      <xdr:colOff>180975</xdr:colOff>
      <xdr:row>19</xdr:row>
      <xdr:rowOff>0</xdr:rowOff>
    </xdr:to>
    <xdr:pic>
      <xdr:nvPicPr>
        <xdr:cNvPr id="1" name="Picture 6"/>
        <xdr:cNvPicPr preferRelativeResize="1">
          <a:picLocks noChangeAspect="1"/>
        </xdr:cNvPicPr>
      </xdr:nvPicPr>
      <xdr:blipFill>
        <a:blip r:embed="rId1"/>
        <a:stretch>
          <a:fillRect/>
        </a:stretch>
      </xdr:blipFill>
      <xdr:spPr>
        <a:xfrm>
          <a:off x="1143000" y="3048000"/>
          <a:ext cx="161925" cy="161925"/>
        </a:xfrm>
        <a:prstGeom prst="rect">
          <a:avLst/>
        </a:prstGeom>
        <a:noFill/>
        <a:ln w="9525" cmpd="sng">
          <a:noFill/>
        </a:ln>
      </xdr:spPr>
    </xdr:pic>
    <xdr:clientData/>
  </xdr:twoCellAnchor>
  <xdr:twoCellAnchor editAs="oneCell">
    <xdr:from>
      <xdr:col>2</xdr:col>
      <xdr:colOff>38100</xdr:colOff>
      <xdr:row>24</xdr:row>
      <xdr:rowOff>142875</xdr:rowOff>
    </xdr:from>
    <xdr:to>
      <xdr:col>2</xdr:col>
      <xdr:colOff>219075</xdr:colOff>
      <xdr:row>26</xdr:row>
      <xdr:rowOff>0</xdr:rowOff>
    </xdr:to>
    <xdr:pic>
      <xdr:nvPicPr>
        <xdr:cNvPr id="2" name="Picture 7"/>
        <xdr:cNvPicPr preferRelativeResize="1">
          <a:picLocks noChangeAspect="1"/>
        </xdr:cNvPicPr>
      </xdr:nvPicPr>
      <xdr:blipFill>
        <a:blip r:embed="rId2"/>
        <a:stretch>
          <a:fillRect/>
        </a:stretch>
      </xdr:blipFill>
      <xdr:spPr>
        <a:xfrm>
          <a:off x="1162050" y="4162425"/>
          <a:ext cx="180975" cy="180975"/>
        </a:xfrm>
        <a:prstGeom prst="rect">
          <a:avLst/>
        </a:prstGeom>
        <a:noFill/>
        <a:ln w="9525" cmpd="sng">
          <a:noFill/>
        </a:ln>
      </xdr:spPr>
    </xdr:pic>
    <xdr:clientData/>
  </xdr:twoCellAnchor>
  <xdr:twoCellAnchor editAs="oneCell">
    <xdr:from>
      <xdr:col>2</xdr:col>
      <xdr:colOff>9525</xdr:colOff>
      <xdr:row>2</xdr:row>
      <xdr:rowOff>0</xdr:rowOff>
    </xdr:from>
    <xdr:to>
      <xdr:col>2</xdr:col>
      <xdr:colOff>161925</xdr:colOff>
      <xdr:row>3</xdr:row>
      <xdr:rowOff>0</xdr:rowOff>
    </xdr:to>
    <xdr:pic>
      <xdr:nvPicPr>
        <xdr:cNvPr id="3" name="Picture 8"/>
        <xdr:cNvPicPr preferRelativeResize="1">
          <a:picLocks noChangeAspect="1"/>
        </xdr:cNvPicPr>
      </xdr:nvPicPr>
      <xdr:blipFill>
        <a:blip r:embed="rId3"/>
        <a:stretch>
          <a:fillRect/>
        </a:stretch>
      </xdr:blipFill>
      <xdr:spPr>
        <a:xfrm>
          <a:off x="1133475" y="457200"/>
          <a:ext cx="152400" cy="161925"/>
        </a:xfrm>
        <a:prstGeom prst="rect">
          <a:avLst/>
        </a:prstGeom>
        <a:noFill/>
        <a:ln w="9525" cmpd="sng">
          <a:noFill/>
        </a:ln>
      </xdr:spPr>
    </xdr:pic>
    <xdr:clientData/>
  </xdr:twoCellAnchor>
  <xdr:twoCellAnchor editAs="oneCell">
    <xdr:from>
      <xdr:col>2</xdr:col>
      <xdr:colOff>47625</xdr:colOff>
      <xdr:row>8</xdr:row>
      <xdr:rowOff>142875</xdr:rowOff>
    </xdr:from>
    <xdr:to>
      <xdr:col>2</xdr:col>
      <xdr:colOff>219075</xdr:colOff>
      <xdr:row>9</xdr:row>
      <xdr:rowOff>142875</xdr:rowOff>
    </xdr:to>
    <xdr:pic>
      <xdr:nvPicPr>
        <xdr:cNvPr id="4" name="Picture 9"/>
        <xdr:cNvPicPr preferRelativeResize="1">
          <a:picLocks noChangeAspect="1"/>
        </xdr:cNvPicPr>
      </xdr:nvPicPr>
      <xdr:blipFill>
        <a:blip r:embed="rId4"/>
        <a:stretch>
          <a:fillRect/>
        </a:stretch>
      </xdr:blipFill>
      <xdr:spPr>
        <a:xfrm>
          <a:off x="1171575" y="1571625"/>
          <a:ext cx="171450" cy="161925"/>
        </a:xfrm>
        <a:prstGeom prst="rect">
          <a:avLst/>
        </a:prstGeom>
        <a:noFill/>
        <a:ln w="9525" cmpd="sng">
          <a:noFill/>
        </a:ln>
      </xdr:spPr>
    </xdr:pic>
    <xdr:clientData/>
  </xdr:twoCellAnchor>
  <xdr:twoCellAnchor editAs="oneCell">
    <xdr:from>
      <xdr:col>2</xdr:col>
      <xdr:colOff>19050</xdr:colOff>
      <xdr:row>31</xdr:row>
      <xdr:rowOff>38100</xdr:rowOff>
    </xdr:from>
    <xdr:to>
      <xdr:col>2</xdr:col>
      <xdr:colOff>171450</xdr:colOff>
      <xdr:row>32</xdr:row>
      <xdr:rowOff>38100</xdr:rowOff>
    </xdr:to>
    <xdr:pic>
      <xdr:nvPicPr>
        <xdr:cNvPr id="5" name="Picture 8"/>
        <xdr:cNvPicPr preferRelativeResize="1">
          <a:picLocks noChangeAspect="1"/>
        </xdr:cNvPicPr>
      </xdr:nvPicPr>
      <xdr:blipFill>
        <a:blip r:embed="rId3"/>
        <a:stretch>
          <a:fillRect/>
        </a:stretch>
      </xdr:blipFill>
      <xdr:spPr>
        <a:xfrm>
          <a:off x="1143000" y="5191125"/>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16</xdr:row>
      <xdr:rowOff>28575</xdr:rowOff>
    </xdr:from>
    <xdr:to>
      <xdr:col>2</xdr:col>
      <xdr:colOff>200025</xdr:colOff>
      <xdr:row>17</xdr:row>
      <xdr:rowOff>28575</xdr:rowOff>
    </xdr:to>
    <xdr:pic>
      <xdr:nvPicPr>
        <xdr:cNvPr id="1" name="Picture 5"/>
        <xdr:cNvPicPr preferRelativeResize="1">
          <a:picLocks noChangeAspect="1"/>
        </xdr:cNvPicPr>
      </xdr:nvPicPr>
      <xdr:blipFill>
        <a:blip r:embed="rId1"/>
        <a:stretch>
          <a:fillRect/>
        </a:stretch>
      </xdr:blipFill>
      <xdr:spPr>
        <a:xfrm>
          <a:off x="1162050" y="2752725"/>
          <a:ext cx="161925" cy="161925"/>
        </a:xfrm>
        <a:prstGeom prst="rect">
          <a:avLst/>
        </a:prstGeom>
        <a:noFill/>
        <a:ln w="9525" cmpd="sng">
          <a:noFill/>
        </a:ln>
      </xdr:spPr>
    </xdr:pic>
    <xdr:clientData/>
  </xdr:twoCellAnchor>
  <xdr:twoCellAnchor editAs="oneCell">
    <xdr:from>
      <xdr:col>2</xdr:col>
      <xdr:colOff>28575</xdr:colOff>
      <xdr:row>23</xdr:row>
      <xdr:rowOff>9525</xdr:rowOff>
    </xdr:from>
    <xdr:to>
      <xdr:col>2</xdr:col>
      <xdr:colOff>209550</xdr:colOff>
      <xdr:row>24</xdr:row>
      <xdr:rowOff>28575</xdr:rowOff>
    </xdr:to>
    <xdr:pic>
      <xdr:nvPicPr>
        <xdr:cNvPr id="2" name="Picture 6"/>
        <xdr:cNvPicPr preferRelativeResize="1">
          <a:picLocks noChangeAspect="1"/>
        </xdr:cNvPicPr>
      </xdr:nvPicPr>
      <xdr:blipFill>
        <a:blip r:embed="rId2"/>
        <a:stretch>
          <a:fillRect/>
        </a:stretch>
      </xdr:blipFill>
      <xdr:spPr>
        <a:xfrm>
          <a:off x="1152525" y="3867150"/>
          <a:ext cx="180975" cy="180975"/>
        </a:xfrm>
        <a:prstGeom prst="rect">
          <a:avLst/>
        </a:prstGeom>
        <a:noFill/>
        <a:ln w="9525" cmpd="sng">
          <a:noFill/>
        </a:ln>
      </xdr:spPr>
    </xdr:pic>
    <xdr:clientData/>
  </xdr:twoCellAnchor>
  <xdr:twoCellAnchor editAs="oneCell">
    <xdr:from>
      <xdr:col>2</xdr:col>
      <xdr:colOff>47625</xdr:colOff>
      <xdr:row>30</xdr:row>
      <xdr:rowOff>28575</xdr:rowOff>
    </xdr:from>
    <xdr:to>
      <xdr:col>2</xdr:col>
      <xdr:colOff>200025</xdr:colOff>
      <xdr:row>31</xdr:row>
      <xdr:rowOff>28575</xdr:rowOff>
    </xdr:to>
    <xdr:pic>
      <xdr:nvPicPr>
        <xdr:cNvPr id="3" name="Picture 7"/>
        <xdr:cNvPicPr preferRelativeResize="1">
          <a:picLocks noChangeAspect="1"/>
        </xdr:cNvPicPr>
      </xdr:nvPicPr>
      <xdr:blipFill>
        <a:blip r:embed="rId3"/>
        <a:stretch>
          <a:fillRect/>
        </a:stretch>
      </xdr:blipFill>
      <xdr:spPr>
        <a:xfrm>
          <a:off x="1171575" y="5019675"/>
          <a:ext cx="152400" cy="161925"/>
        </a:xfrm>
        <a:prstGeom prst="rect">
          <a:avLst/>
        </a:prstGeom>
        <a:noFill/>
        <a:ln w="9525" cmpd="sng">
          <a:noFill/>
        </a:ln>
      </xdr:spPr>
    </xdr:pic>
    <xdr:clientData/>
  </xdr:twoCellAnchor>
  <xdr:twoCellAnchor editAs="oneCell">
    <xdr:from>
      <xdr:col>2</xdr:col>
      <xdr:colOff>19050</xdr:colOff>
      <xdr:row>8</xdr:row>
      <xdr:rowOff>9525</xdr:rowOff>
    </xdr:from>
    <xdr:to>
      <xdr:col>2</xdr:col>
      <xdr:colOff>190500</xdr:colOff>
      <xdr:row>9</xdr:row>
      <xdr:rowOff>9525</xdr:rowOff>
    </xdr:to>
    <xdr:pic>
      <xdr:nvPicPr>
        <xdr:cNvPr id="4" name="Picture 8"/>
        <xdr:cNvPicPr preferRelativeResize="1">
          <a:picLocks noChangeAspect="1"/>
        </xdr:cNvPicPr>
      </xdr:nvPicPr>
      <xdr:blipFill>
        <a:blip r:embed="rId4"/>
        <a:stretch>
          <a:fillRect/>
        </a:stretch>
      </xdr:blipFill>
      <xdr:spPr>
        <a:xfrm>
          <a:off x="1143000" y="1438275"/>
          <a:ext cx="171450"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16</xdr:row>
      <xdr:rowOff>19050</xdr:rowOff>
    </xdr:from>
    <xdr:to>
      <xdr:col>2</xdr:col>
      <xdr:colOff>200025</xdr:colOff>
      <xdr:row>17</xdr:row>
      <xdr:rowOff>19050</xdr:rowOff>
    </xdr:to>
    <xdr:pic>
      <xdr:nvPicPr>
        <xdr:cNvPr id="1" name="Picture 6"/>
        <xdr:cNvPicPr preferRelativeResize="1">
          <a:picLocks noChangeAspect="1"/>
        </xdr:cNvPicPr>
      </xdr:nvPicPr>
      <xdr:blipFill>
        <a:blip r:embed="rId1"/>
        <a:stretch>
          <a:fillRect/>
        </a:stretch>
      </xdr:blipFill>
      <xdr:spPr>
        <a:xfrm>
          <a:off x="1162050" y="2743200"/>
          <a:ext cx="161925" cy="161925"/>
        </a:xfrm>
        <a:prstGeom prst="rect">
          <a:avLst/>
        </a:prstGeom>
        <a:noFill/>
        <a:ln w="9525" cmpd="sng">
          <a:noFill/>
        </a:ln>
      </xdr:spPr>
    </xdr:pic>
    <xdr:clientData/>
  </xdr:twoCellAnchor>
  <xdr:twoCellAnchor editAs="oneCell">
    <xdr:from>
      <xdr:col>2</xdr:col>
      <xdr:colOff>38100</xdr:colOff>
      <xdr:row>22</xdr:row>
      <xdr:rowOff>0</xdr:rowOff>
    </xdr:from>
    <xdr:to>
      <xdr:col>2</xdr:col>
      <xdr:colOff>219075</xdr:colOff>
      <xdr:row>23</xdr:row>
      <xdr:rowOff>19050</xdr:rowOff>
    </xdr:to>
    <xdr:pic>
      <xdr:nvPicPr>
        <xdr:cNvPr id="2" name="Picture 7"/>
        <xdr:cNvPicPr preferRelativeResize="1">
          <a:picLocks noChangeAspect="1"/>
        </xdr:cNvPicPr>
      </xdr:nvPicPr>
      <xdr:blipFill>
        <a:blip r:embed="rId2"/>
        <a:stretch>
          <a:fillRect/>
        </a:stretch>
      </xdr:blipFill>
      <xdr:spPr>
        <a:xfrm>
          <a:off x="1162050" y="3695700"/>
          <a:ext cx="180975" cy="180975"/>
        </a:xfrm>
        <a:prstGeom prst="rect">
          <a:avLst/>
        </a:prstGeom>
        <a:noFill/>
        <a:ln w="9525" cmpd="sng">
          <a:noFill/>
        </a:ln>
      </xdr:spPr>
    </xdr:pic>
    <xdr:clientData/>
  </xdr:twoCellAnchor>
  <xdr:twoCellAnchor editAs="oneCell">
    <xdr:from>
      <xdr:col>2</xdr:col>
      <xdr:colOff>57150</xdr:colOff>
      <xdr:row>28</xdr:row>
      <xdr:rowOff>152400</xdr:rowOff>
    </xdr:from>
    <xdr:to>
      <xdr:col>2</xdr:col>
      <xdr:colOff>209550</xdr:colOff>
      <xdr:row>29</xdr:row>
      <xdr:rowOff>152400</xdr:rowOff>
    </xdr:to>
    <xdr:pic>
      <xdr:nvPicPr>
        <xdr:cNvPr id="3" name="Picture 8"/>
        <xdr:cNvPicPr preferRelativeResize="1">
          <a:picLocks noChangeAspect="1"/>
        </xdr:cNvPicPr>
      </xdr:nvPicPr>
      <xdr:blipFill>
        <a:blip r:embed="rId3"/>
        <a:stretch>
          <a:fillRect/>
        </a:stretch>
      </xdr:blipFill>
      <xdr:spPr>
        <a:xfrm>
          <a:off x="1181100" y="4819650"/>
          <a:ext cx="152400" cy="161925"/>
        </a:xfrm>
        <a:prstGeom prst="rect">
          <a:avLst/>
        </a:prstGeom>
        <a:noFill/>
        <a:ln w="9525" cmpd="sng">
          <a:noFill/>
        </a:ln>
      </xdr:spPr>
    </xdr:pic>
    <xdr:clientData/>
  </xdr:twoCellAnchor>
  <xdr:twoCellAnchor editAs="oneCell">
    <xdr:from>
      <xdr:col>2</xdr:col>
      <xdr:colOff>28575</xdr:colOff>
      <xdr:row>8</xdr:row>
      <xdr:rowOff>19050</xdr:rowOff>
    </xdr:from>
    <xdr:to>
      <xdr:col>2</xdr:col>
      <xdr:colOff>200025</xdr:colOff>
      <xdr:row>9</xdr:row>
      <xdr:rowOff>19050</xdr:rowOff>
    </xdr:to>
    <xdr:pic>
      <xdr:nvPicPr>
        <xdr:cNvPr id="4" name="Picture 9"/>
        <xdr:cNvPicPr preferRelativeResize="1">
          <a:picLocks noChangeAspect="1"/>
        </xdr:cNvPicPr>
      </xdr:nvPicPr>
      <xdr:blipFill>
        <a:blip r:embed="rId4"/>
        <a:stretch>
          <a:fillRect/>
        </a:stretch>
      </xdr:blipFill>
      <xdr:spPr>
        <a:xfrm>
          <a:off x="1152525" y="1447800"/>
          <a:ext cx="171450" cy="161925"/>
        </a:xfrm>
        <a:prstGeom prst="rect">
          <a:avLst/>
        </a:prstGeom>
        <a:noFill/>
        <a:ln w="9525" cmpd="sng">
          <a:noFill/>
        </a:ln>
      </xdr:spPr>
    </xdr:pic>
    <xdr:clientData/>
  </xdr:twoCellAnchor>
  <xdr:twoCellAnchor editAs="oneCell">
    <xdr:from>
      <xdr:col>2</xdr:col>
      <xdr:colOff>38100</xdr:colOff>
      <xdr:row>16</xdr:row>
      <xdr:rowOff>19050</xdr:rowOff>
    </xdr:from>
    <xdr:to>
      <xdr:col>2</xdr:col>
      <xdr:colOff>209550</xdr:colOff>
      <xdr:row>17</xdr:row>
      <xdr:rowOff>19050</xdr:rowOff>
    </xdr:to>
    <xdr:pic>
      <xdr:nvPicPr>
        <xdr:cNvPr id="5" name="Picture 9"/>
        <xdr:cNvPicPr preferRelativeResize="1">
          <a:picLocks noChangeAspect="1"/>
        </xdr:cNvPicPr>
      </xdr:nvPicPr>
      <xdr:blipFill>
        <a:blip r:embed="rId4"/>
        <a:stretch>
          <a:fillRect/>
        </a:stretch>
      </xdr:blipFill>
      <xdr:spPr>
        <a:xfrm>
          <a:off x="1162050" y="2743200"/>
          <a:ext cx="171450"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14</xdr:row>
      <xdr:rowOff>0</xdr:rowOff>
    </xdr:from>
    <xdr:to>
      <xdr:col>2</xdr:col>
      <xdr:colOff>200025</xdr:colOff>
      <xdr:row>15</xdr:row>
      <xdr:rowOff>28575</xdr:rowOff>
    </xdr:to>
    <xdr:pic>
      <xdr:nvPicPr>
        <xdr:cNvPr id="1" name="Picture 9"/>
        <xdr:cNvPicPr preferRelativeResize="1">
          <a:picLocks noChangeAspect="1"/>
        </xdr:cNvPicPr>
      </xdr:nvPicPr>
      <xdr:blipFill>
        <a:blip r:embed="rId1"/>
        <a:stretch>
          <a:fillRect/>
        </a:stretch>
      </xdr:blipFill>
      <xdr:spPr>
        <a:xfrm>
          <a:off x="1133475" y="2400300"/>
          <a:ext cx="190500" cy="190500"/>
        </a:xfrm>
        <a:prstGeom prst="rect">
          <a:avLst/>
        </a:prstGeom>
        <a:noFill/>
        <a:ln w="9525" cmpd="sng">
          <a:noFill/>
        </a:ln>
      </xdr:spPr>
    </xdr:pic>
    <xdr:clientData/>
  </xdr:twoCellAnchor>
  <xdr:twoCellAnchor editAs="oneCell">
    <xdr:from>
      <xdr:col>2</xdr:col>
      <xdr:colOff>38100</xdr:colOff>
      <xdr:row>20</xdr:row>
      <xdr:rowOff>152400</xdr:rowOff>
    </xdr:from>
    <xdr:to>
      <xdr:col>2</xdr:col>
      <xdr:colOff>219075</xdr:colOff>
      <xdr:row>22</xdr:row>
      <xdr:rowOff>9525</xdr:rowOff>
    </xdr:to>
    <xdr:pic>
      <xdr:nvPicPr>
        <xdr:cNvPr id="2" name="Picture 10"/>
        <xdr:cNvPicPr preferRelativeResize="1">
          <a:picLocks noChangeAspect="1"/>
        </xdr:cNvPicPr>
      </xdr:nvPicPr>
      <xdr:blipFill>
        <a:blip r:embed="rId2"/>
        <a:stretch>
          <a:fillRect/>
        </a:stretch>
      </xdr:blipFill>
      <xdr:spPr>
        <a:xfrm>
          <a:off x="1162050" y="3524250"/>
          <a:ext cx="180975" cy="180975"/>
        </a:xfrm>
        <a:prstGeom prst="rect">
          <a:avLst/>
        </a:prstGeom>
        <a:noFill/>
        <a:ln w="9525" cmpd="sng">
          <a:noFill/>
        </a:ln>
      </xdr:spPr>
    </xdr:pic>
    <xdr:clientData/>
  </xdr:twoCellAnchor>
  <xdr:twoCellAnchor editAs="oneCell">
    <xdr:from>
      <xdr:col>2</xdr:col>
      <xdr:colOff>57150</xdr:colOff>
      <xdr:row>28</xdr:row>
      <xdr:rowOff>0</xdr:rowOff>
    </xdr:from>
    <xdr:to>
      <xdr:col>2</xdr:col>
      <xdr:colOff>209550</xdr:colOff>
      <xdr:row>29</xdr:row>
      <xdr:rowOff>0</xdr:rowOff>
    </xdr:to>
    <xdr:pic>
      <xdr:nvPicPr>
        <xdr:cNvPr id="3" name="Picture 11"/>
        <xdr:cNvPicPr preferRelativeResize="1">
          <a:picLocks noChangeAspect="1"/>
        </xdr:cNvPicPr>
      </xdr:nvPicPr>
      <xdr:blipFill>
        <a:blip r:embed="rId3"/>
        <a:stretch>
          <a:fillRect/>
        </a:stretch>
      </xdr:blipFill>
      <xdr:spPr>
        <a:xfrm>
          <a:off x="1181100" y="4667250"/>
          <a:ext cx="152400" cy="161925"/>
        </a:xfrm>
        <a:prstGeom prst="rect">
          <a:avLst/>
        </a:prstGeom>
        <a:noFill/>
        <a:ln w="9525" cmpd="sng">
          <a:noFill/>
        </a:ln>
      </xdr:spPr>
    </xdr:pic>
    <xdr:clientData/>
  </xdr:twoCellAnchor>
  <xdr:twoCellAnchor editAs="oneCell">
    <xdr:from>
      <xdr:col>2</xdr:col>
      <xdr:colOff>38100</xdr:colOff>
      <xdr:row>6</xdr:row>
      <xdr:rowOff>9525</xdr:rowOff>
    </xdr:from>
    <xdr:to>
      <xdr:col>2</xdr:col>
      <xdr:colOff>209550</xdr:colOff>
      <xdr:row>7</xdr:row>
      <xdr:rowOff>9525</xdr:rowOff>
    </xdr:to>
    <xdr:pic>
      <xdr:nvPicPr>
        <xdr:cNvPr id="4" name="Picture 12"/>
        <xdr:cNvPicPr preferRelativeResize="1">
          <a:picLocks noChangeAspect="1"/>
        </xdr:cNvPicPr>
      </xdr:nvPicPr>
      <xdr:blipFill>
        <a:blip r:embed="rId4"/>
        <a:stretch>
          <a:fillRect/>
        </a:stretch>
      </xdr:blipFill>
      <xdr:spPr>
        <a:xfrm>
          <a:off x="1162050" y="1114425"/>
          <a:ext cx="171450" cy="161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28575</xdr:rowOff>
    </xdr:from>
    <xdr:to>
      <xdr:col>2</xdr:col>
      <xdr:colOff>190500</xdr:colOff>
      <xdr:row>13</xdr:row>
      <xdr:rowOff>28575</xdr:rowOff>
    </xdr:to>
    <xdr:pic>
      <xdr:nvPicPr>
        <xdr:cNvPr id="1" name="Picture 5"/>
        <xdr:cNvPicPr preferRelativeResize="1">
          <a:picLocks noChangeAspect="1"/>
        </xdr:cNvPicPr>
      </xdr:nvPicPr>
      <xdr:blipFill>
        <a:blip r:embed="rId1"/>
        <a:stretch>
          <a:fillRect/>
        </a:stretch>
      </xdr:blipFill>
      <xdr:spPr>
        <a:xfrm>
          <a:off x="1152525" y="2105025"/>
          <a:ext cx="161925" cy="161925"/>
        </a:xfrm>
        <a:prstGeom prst="rect">
          <a:avLst/>
        </a:prstGeom>
        <a:noFill/>
        <a:ln w="9525" cmpd="sng">
          <a:noFill/>
        </a:ln>
      </xdr:spPr>
    </xdr:pic>
    <xdr:clientData/>
  </xdr:twoCellAnchor>
  <xdr:twoCellAnchor editAs="oneCell">
    <xdr:from>
      <xdr:col>2</xdr:col>
      <xdr:colOff>19050</xdr:colOff>
      <xdr:row>19</xdr:row>
      <xdr:rowOff>0</xdr:rowOff>
    </xdr:from>
    <xdr:to>
      <xdr:col>2</xdr:col>
      <xdr:colOff>200025</xdr:colOff>
      <xdr:row>20</xdr:row>
      <xdr:rowOff>19050</xdr:rowOff>
    </xdr:to>
    <xdr:pic>
      <xdr:nvPicPr>
        <xdr:cNvPr id="2" name="Picture 6"/>
        <xdr:cNvPicPr preferRelativeResize="1">
          <a:picLocks noChangeAspect="1"/>
        </xdr:cNvPicPr>
      </xdr:nvPicPr>
      <xdr:blipFill>
        <a:blip r:embed="rId2"/>
        <a:stretch>
          <a:fillRect/>
        </a:stretch>
      </xdr:blipFill>
      <xdr:spPr>
        <a:xfrm>
          <a:off x="1143000" y="3209925"/>
          <a:ext cx="180975" cy="180975"/>
        </a:xfrm>
        <a:prstGeom prst="rect">
          <a:avLst/>
        </a:prstGeom>
        <a:noFill/>
        <a:ln w="9525" cmpd="sng">
          <a:noFill/>
        </a:ln>
      </xdr:spPr>
    </xdr:pic>
    <xdr:clientData/>
  </xdr:twoCellAnchor>
  <xdr:twoCellAnchor editAs="oneCell">
    <xdr:from>
      <xdr:col>2</xdr:col>
      <xdr:colOff>28575</xdr:colOff>
      <xdr:row>26</xdr:row>
      <xdr:rowOff>9525</xdr:rowOff>
    </xdr:from>
    <xdr:to>
      <xdr:col>2</xdr:col>
      <xdr:colOff>180975</xdr:colOff>
      <xdr:row>27</xdr:row>
      <xdr:rowOff>9525</xdr:rowOff>
    </xdr:to>
    <xdr:pic>
      <xdr:nvPicPr>
        <xdr:cNvPr id="3" name="Picture 7"/>
        <xdr:cNvPicPr preferRelativeResize="1">
          <a:picLocks noChangeAspect="1"/>
        </xdr:cNvPicPr>
      </xdr:nvPicPr>
      <xdr:blipFill>
        <a:blip r:embed="rId3"/>
        <a:stretch>
          <a:fillRect/>
        </a:stretch>
      </xdr:blipFill>
      <xdr:spPr>
        <a:xfrm>
          <a:off x="1152525" y="4352925"/>
          <a:ext cx="152400" cy="161925"/>
        </a:xfrm>
        <a:prstGeom prst="rect">
          <a:avLst/>
        </a:prstGeom>
        <a:noFill/>
        <a:ln w="9525" cmpd="sng">
          <a:noFill/>
        </a:ln>
      </xdr:spPr>
    </xdr:pic>
    <xdr:clientData/>
  </xdr:twoCellAnchor>
  <xdr:twoCellAnchor editAs="oneCell">
    <xdr:from>
      <xdr:col>2</xdr:col>
      <xdr:colOff>38100</xdr:colOff>
      <xdr:row>4</xdr:row>
      <xdr:rowOff>152400</xdr:rowOff>
    </xdr:from>
    <xdr:to>
      <xdr:col>2</xdr:col>
      <xdr:colOff>209550</xdr:colOff>
      <xdr:row>5</xdr:row>
      <xdr:rowOff>152400</xdr:rowOff>
    </xdr:to>
    <xdr:pic>
      <xdr:nvPicPr>
        <xdr:cNvPr id="4" name="Picture 8"/>
        <xdr:cNvPicPr preferRelativeResize="1">
          <a:picLocks noChangeAspect="1"/>
        </xdr:cNvPicPr>
      </xdr:nvPicPr>
      <xdr:blipFill>
        <a:blip r:embed="rId4"/>
        <a:stretch>
          <a:fillRect/>
        </a:stretch>
      </xdr:blipFill>
      <xdr:spPr>
        <a:xfrm>
          <a:off x="1162050" y="933450"/>
          <a:ext cx="1714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U195"/>
  <sheetViews>
    <sheetView tabSelected="1"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8" width="7.57421875" style="4" customWidth="1"/>
    <col min="19" max="19" width="9.7109375" style="4" customWidth="1"/>
    <col min="20" max="20" width="8.28125" style="4" customWidth="1"/>
    <col min="21" max="21" width="9.7109375" style="4" customWidth="1"/>
    <col min="22" max="16384" width="9.140625" style="4" customWidth="1"/>
  </cols>
  <sheetData>
    <row r="1" spans="1:21" s="2" customFormat="1" ht="23.25" customHeight="1">
      <c r="A1" s="117" t="s">
        <v>169</v>
      </c>
      <c r="B1" s="118"/>
      <c r="C1" s="118"/>
      <c r="D1" s="118"/>
      <c r="E1" s="119" t="str">
        <f>ROMAN(Location!$B$6)</f>
        <v>MMIX</v>
      </c>
      <c r="F1" s="118"/>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51" t="str">
        <f>IF($C$37="A","Sunday",IF($C$37="B","Saturday",IF($C$37="C","Friday",IF($C$37="D","Thursday",IF($C$37="E","Wednesday",IF($C$37="F","Tuesday",IF($C$37="G","Monday")))))))</f>
        <v>Thursday</v>
      </c>
      <c r="C3" s="59"/>
      <c r="D3" s="93" t="s">
        <v>61</v>
      </c>
      <c r="E3" s="8" t="s">
        <v>17</v>
      </c>
      <c r="F3" s="6" t="s">
        <v>18</v>
      </c>
      <c r="G3" s="48" t="s">
        <v>19</v>
      </c>
      <c r="H3" s="9">
        <f aca="true" t="shared" si="0" ref="H3:H33">(T3/2)+Q3-"12:00:00"</f>
        <v>12.016970332203678</v>
      </c>
      <c r="I3" s="9">
        <f aca="true" t="shared" si="1" ref="I3:I33">H3+((J3-H3)/2)</f>
        <v>6.159756655174565</v>
      </c>
      <c r="J3" s="9">
        <f aca="true" t="shared" si="2" ref="J3:J33">P3</f>
        <v>0.30254297814545156</v>
      </c>
      <c r="K3" s="9">
        <f aca="true" t="shared" si="3" ref="K3:K33">J3+((L3-J3)/2)</f>
        <v>0.40975665517456517</v>
      </c>
      <c r="L3" s="9">
        <f aca="true" t="shared" si="4" ref="L3:L33">(R3/2)+J3</f>
        <v>0.5169703322036788</v>
      </c>
      <c r="M3" s="9">
        <f aca="true" t="shared" si="5" ref="M3:M33">((N3-L3)/2)+L3</f>
        <v>0.6241840092327924</v>
      </c>
      <c r="N3" s="9">
        <f aca="true" t="shared" si="6" ref="N3:N33">Q3</f>
        <v>0.731397686261906</v>
      </c>
      <c r="O3" s="9">
        <f aca="true" t="shared" si="7" ref="O3:O33">3*U3+N3</f>
        <v>0.8741840092327924</v>
      </c>
      <c r="P3" s="9">
        <f>sunrise(Location!$B$4,Location!$B$5,Location!$B$6,1,A3,Location!$B$7,0)</f>
        <v>0.30254297814545156</v>
      </c>
      <c r="Q3" s="9">
        <f>sunset(Location!$B$4,Location!$B$5,Location!$B$6,1,A3,Location!$B$7,0)</f>
        <v>0.731397686261906</v>
      </c>
      <c r="R3" s="9">
        <f aca="true" t="shared" si="8" ref="R3:R33">Q3-P3</f>
        <v>0.4288547081164545</v>
      </c>
      <c r="S3" s="10">
        <f aca="true" t="shared" si="9" ref="S3:S33">R3/12</f>
        <v>0.035737892343037876</v>
      </c>
      <c r="T3" s="9">
        <f aca="true" t="shared" si="10" ref="T3:T33">(24-(Q3-P3))</f>
        <v>23.571145291883546</v>
      </c>
      <c r="U3" s="10">
        <f aca="true" t="shared" si="11" ref="U3:U33">"1:00:00"-S3+"1:00:00"</f>
        <v>0.04759544099029545</v>
      </c>
    </row>
    <row r="4" spans="1:21" ht="12.75">
      <c r="A4" s="5">
        <v>2</v>
      </c>
      <c r="B4" s="51" t="str">
        <f>IF($C$37="A","Monday",IF($C$37="B","Sunday",IF($C$37="C","Saturday",IF($C$37="D","Friday",IF($C$37="E","Thursday",IF($C$37="F","Wednesday",IF($C$37="G","Tuesday")))))))</f>
        <v>Friday</v>
      </c>
      <c r="C4" s="59"/>
      <c r="D4" s="7"/>
      <c r="E4" s="8" t="s">
        <v>21</v>
      </c>
      <c r="F4" s="6" t="s">
        <v>22</v>
      </c>
      <c r="G4" s="45"/>
      <c r="H4" s="9">
        <f t="shared" si="0"/>
        <v>12.017296072883626</v>
      </c>
      <c r="I4" s="9">
        <f t="shared" si="1"/>
        <v>6.159996661560387</v>
      </c>
      <c r="J4" s="9">
        <f t="shared" si="2"/>
        <v>0.302697250237148</v>
      </c>
      <c r="K4" s="9">
        <f t="shared" si="3"/>
        <v>0.40999666156038733</v>
      </c>
      <c r="L4" s="9">
        <f t="shared" si="4"/>
        <v>0.5172960728836267</v>
      </c>
      <c r="M4" s="9">
        <f t="shared" si="5"/>
        <v>0.624595484206866</v>
      </c>
      <c r="N4" s="9">
        <f t="shared" si="6"/>
        <v>0.7318948955301053</v>
      </c>
      <c r="O4" s="9">
        <f t="shared" si="7"/>
        <v>0.874595484206866</v>
      </c>
      <c r="P4" s="9">
        <f>sunrise(Location!$B$4,Location!$B$5,Location!$B$6,1,A4,Location!$B$7,0)</f>
        <v>0.302697250237148</v>
      </c>
      <c r="Q4" s="9">
        <f>sunset(Location!$B$4,Location!$B$5,Location!$B$6,1,A4,Location!$B$7,0)</f>
        <v>0.7318948955301053</v>
      </c>
      <c r="R4" s="9">
        <f t="shared" si="8"/>
        <v>0.42919764529295734</v>
      </c>
      <c r="S4" s="10">
        <f t="shared" si="9"/>
        <v>0.03576647044107978</v>
      </c>
      <c r="T4" s="9">
        <f t="shared" si="10"/>
        <v>23.57080235470704</v>
      </c>
      <c r="U4" s="10">
        <f t="shared" si="11"/>
        <v>0.04756686289225355</v>
      </c>
    </row>
    <row r="5" spans="1:21" ht="12.75">
      <c r="A5" s="5">
        <v>3</v>
      </c>
      <c r="B5" s="51" t="str">
        <f>IF($C$37="A","Tuesday",IF($C$37="B","Monday",IF($C$37="C","Sunday",IF($C$37="D","Saturday",IF($C$37="E","Friday",IF($C$37="F","Thursday",IF($C$37="G","Wednesday")))))))</f>
        <v>Saturday</v>
      </c>
      <c r="C5" s="59"/>
      <c r="D5" s="7"/>
      <c r="E5" s="8" t="s">
        <v>24</v>
      </c>
      <c r="F5" s="6" t="s">
        <v>25</v>
      </c>
      <c r="G5" s="48"/>
      <c r="H5" s="9">
        <f t="shared" si="0"/>
        <v>12.017617609871893</v>
      </c>
      <c r="I5" s="9">
        <f t="shared" si="1"/>
        <v>6.160225512580377</v>
      </c>
      <c r="J5" s="9">
        <f t="shared" si="2"/>
        <v>0.30283341528886</v>
      </c>
      <c r="K5" s="9">
        <f t="shared" si="3"/>
        <v>0.41022551258037643</v>
      </c>
      <c r="L5" s="9">
        <f t="shared" si="4"/>
        <v>0.5176176098718929</v>
      </c>
      <c r="M5" s="9">
        <f t="shared" si="5"/>
        <v>0.6250097071634093</v>
      </c>
      <c r="N5" s="9">
        <f t="shared" si="6"/>
        <v>0.7324018044549258</v>
      </c>
      <c r="O5" s="9">
        <f t="shared" si="7"/>
        <v>0.8750097071634093</v>
      </c>
      <c r="P5" s="9">
        <f>sunrise(Location!$B$4,Location!$B$5,Location!$B$6,1,A5,Location!$B$7,0)</f>
        <v>0.30283341528886</v>
      </c>
      <c r="Q5" s="9">
        <f>sunset(Location!$B$4,Location!$B$5,Location!$B$6,1,A5,Location!$B$7,0)</f>
        <v>0.7324018044549258</v>
      </c>
      <c r="R5" s="9">
        <f t="shared" si="8"/>
        <v>0.42956838916606577</v>
      </c>
      <c r="S5" s="10">
        <f t="shared" si="9"/>
        <v>0.035797365763838816</v>
      </c>
      <c r="T5" s="9">
        <f t="shared" si="10"/>
        <v>23.570431610833936</v>
      </c>
      <c r="U5" s="10">
        <f t="shared" si="11"/>
        <v>0.04753596756949451</v>
      </c>
    </row>
    <row r="6" spans="1:21" ht="12.75">
      <c r="A6" s="5">
        <v>4</v>
      </c>
      <c r="B6" s="51" t="str">
        <f>IF($C$37="A","Wednesday",IF($C$37="B","Tuesday",IF($C$37="C","Monday",IF($C$37="D","Sunday",IF($C$37="E","Saturday",IF($C$37="F","Friday",IF($C$37="G","Thursday")))))))</f>
        <v>Sunday</v>
      </c>
      <c r="C6" s="59"/>
      <c r="D6" s="92" t="s">
        <v>64</v>
      </c>
      <c r="E6" s="8" t="s">
        <v>26</v>
      </c>
      <c r="F6" s="6" t="s">
        <v>27</v>
      </c>
      <c r="G6" s="124" t="s">
        <v>264</v>
      </c>
      <c r="H6" s="9">
        <f t="shared" si="0"/>
        <v>12.017934604279596</v>
      </c>
      <c r="I6" s="9">
        <f t="shared" si="1"/>
        <v>6.160442948997894</v>
      </c>
      <c r="J6" s="9">
        <f t="shared" si="2"/>
        <v>0.3029512937161934</v>
      </c>
      <c r="K6" s="9">
        <f t="shared" si="3"/>
        <v>0.41044294899789524</v>
      </c>
      <c r="L6" s="9">
        <f t="shared" si="4"/>
        <v>0.517934604279597</v>
      </c>
      <c r="M6" s="9">
        <f t="shared" si="5"/>
        <v>0.6254262595612989</v>
      </c>
      <c r="N6" s="9">
        <f t="shared" si="6"/>
        <v>0.7329179148430007</v>
      </c>
      <c r="O6" s="9">
        <f t="shared" si="7"/>
        <v>0.8754262595612989</v>
      </c>
      <c r="P6" s="9">
        <f>sunrise(Location!$B$4,Location!$B$5,Location!$B$6,1,A6,Location!$B$7,0)</f>
        <v>0.3029512937161934</v>
      </c>
      <c r="Q6" s="9">
        <f>sunset(Location!$B$4,Location!$B$5,Location!$B$6,1,A6,Location!$B$7,0)</f>
        <v>0.7329179148430007</v>
      </c>
      <c r="R6" s="9">
        <f t="shared" si="8"/>
        <v>0.42996662112680734</v>
      </c>
      <c r="S6" s="10">
        <f t="shared" si="9"/>
        <v>0.03583055176056728</v>
      </c>
      <c r="T6" s="9">
        <f t="shared" si="10"/>
        <v>23.57003337887319</v>
      </c>
      <c r="U6" s="10">
        <f t="shared" si="11"/>
        <v>0.04750278157276605</v>
      </c>
    </row>
    <row r="7" spans="1:21" ht="12.75">
      <c r="A7" s="5">
        <v>5</v>
      </c>
      <c r="B7" s="51" t="str">
        <f>IF($C$37="A","Thursday",IF($C$37="B","Wednesday",IF($C$37="C","Tuesday",IF($C$37="D","Monday",IF($C$37="E","Sunday",IF($C$37="F","Saturday",IF($C$37="G","Friday")))))))</f>
        <v>Monday</v>
      </c>
      <c r="C7" s="59"/>
      <c r="D7" s="92" t="s">
        <v>67</v>
      </c>
      <c r="E7" s="8" t="s">
        <v>29</v>
      </c>
      <c r="F7" s="6" t="s">
        <v>30</v>
      </c>
      <c r="G7" s="102" t="s">
        <v>234</v>
      </c>
      <c r="H7" s="9">
        <f t="shared" si="0"/>
        <v>12.018246725095448</v>
      </c>
      <c r="I7" s="9">
        <f t="shared" si="1"/>
        <v>6.160648724698032</v>
      </c>
      <c r="J7" s="9">
        <f t="shared" si="2"/>
        <v>0.30305072430061614</v>
      </c>
      <c r="K7" s="9">
        <f t="shared" si="3"/>
        <v>0.4106487246980318</v>
      </c>
      <c r="L7" s="9">
        <f t="shared" si="4"/>
        <v>0.5182467250954476</v>
      </c>
      <c r="M7" s="9">
        <f t="shared" si="5"/>
        <v>0.6258447254928632</v>
      </c>
      <c r="N7" s="9">
        <f t="shared" si="6"/>
        <v>0.7334427258902789</v>
      </c>
      <c r="O7" s="9">
        <f>3*U7+N7</f>
        <v>0.8758447254928632</v>
      </c>
      <c r="P7" s="9">
        <f>sunrise(Location!$B$4,Location!$B$5,Location!$B$6,1,A7,Location!$B$7,0)</f>
        <v>0.30305072430061614</v>
      </c>
      <c r="Q7" s="9">
        <f>sunset(Location!$B$4,Location!$B$5,Location!$B$6,1,A7,Location!$B$7,0)</f>
        <v>0.7334427258902789</v>
      </c>
      <c r="R7" s="9">
        <f t="shared" si="8"/>
        <v>0.4303920015896628</v>
      </c>
      <c r="S7" s="10">
        <f t="shared" si="9"/>
        <v>0.0358660001324719</v>
      </c>
      <c r="T7" s="9">
        <f t="shared" si="10"/>
        <v>23.569607998410337</v>
      </c>
      <c r="U7" s="10">
        <f t="shared" si="11"/>
        <v>0.04746733320086143</v>
      </c>
    </row>
    <row r="8" spans="1:21" ht="12.75">
      <c r="A8" s="5">
        <v>6</v>
      </c>
      <c r="B8" s="51" t="str">
        <f>IF($C$37="A","Friday",IF($C$37="B","Thursday",IF($C$37="C","Wednesday",IF($C$37="D","Tuesday",IF($C$37="E","Monday",IF($C$37="F","Sunday",IF($C$37="G","Saturday")))))))</f>
        <v>Tuesday</v>
      </c>
      <c r="C8" s="61"/>
      <c r="D8" s="92" t="s">
        <v>69</v>
      </c>
      <c r="E8" s="8" t="s">
        <v>32</v>
      </c>
      <c r="F8" s="6" t="s">
        <v>33</v>
      </c>
      <c r="G8" s="48" t="s">
        <v>34</v>
      </c>
      <c r="H8" s="9">
        <f t="shared" si="0"/>
        <v>12.018553649694109</v>
      </c>
      <c r="I8" s="9">
        <f t="shared" si="1"/>
        <v>6.160842606937274</v>
      </c>
      <c r="J8" s="9">
        <f t="shared" si="2"/>
        <v>0.30313156418043996</v>
      </c>
      <c r="K8" s="9">
        <f t="shared" si="3"/>
        <v>0.4108426069372746</v>
      </c>
      <c r="L8" s="9">
        <f t="shared" si="4"/>
        <v>0.5185536496941092</v>
      </c>
      <c r="M8" s="9">
        <f t="shared" si="5"/>
        <v>0.6262646924509438</v>
      </c>
      <c r="N8" s="9">
        <f t="shared" si="6"/>
        <v>0.7339757352077786</v>
      </c>
      <c r="O8" s="9">
        <f t="shared" si="7"/>
        <v>0.8762646924509438</v>
      </c>
      <c r="P8" s="9">
        <f>sunrise(Location!$B$4,Location!$B$5,Location!$B$6,1,A8,Location!$B$7,0)</f>
        <v>0.30313156418043996</v>
      </c>
      <c r="Q8" s="9">
        <f>sunset(Location!$B$4,Location!$B$5,Location!$B$6,1,A8,Location!$B$7,0)</f>
        <v>0.7339757352077786</v>
      </c>
      <c r="R8" s="9">
        <f t="shared" si="8"/>
        <v>0.43084417102733863</v>
      </c>
      <c r="S8" s="10">
        <f t="shared" si="9"/>
        <v>0.035903680918944886</v>
      </c>
      <c r="T8" s="9">
        <f t="shared" si="10"/>
        <v>23.56915582897266</v>
      </c>
      <c r="U8" s="10">
        <f t="shared" si="11"/>
        <v>0.04742965241438844</v>
      </c>
    </row>
    <row r="9" spans="1:21" ht="12.75">
      <c r="A9" s="5">
        <v>7</v>
      </c>
      <c r="B9" s="51" t="str">
        <f>IF($C$37="A","Saturday",IF($C$37="B","Friday",IF($C$37="C","Thursday",IF($C$37="D","Wednesday",IF($C$37="E","Tuesday",IF($C$37="F","Monday",IF($C$37="G","Sunday")))))))</f>
        <v>Wednesday</v>
      </c>
      <c r="C9" s="59"/>
      <c r="D9" s="7"/>
      <c r="E9" s="8" t="s">
        <v>36</v>
      </c>
      <c r="F9" s="6" t="s">
        <v>37</v>
      </c>
      <c r="G9" s="136"/>
      <c r="H9" s="9">
        <f t="shared" si="0"/>
        <v>12.018855064321095</v>
      </c>
      <c r="I9" s="9">
        <f t="shared" si="1"/>
        <v>6.161024376559948</v>
      </c>
      <c r="J9" s="9">
        <f t="shared" si="2"/>
        <v>0.3031936887988017</v>
      </c>
      <c r="K9" s="9">
        <f t="shared" si="3"/>
        <v>0.41102437655994883</v>
      </c>
      <c r="L9" s="9">
        <f t="shared" si="4"/>
        <v>0.518855064321096</v>
      </c>
      <c r="M9" s="9">
        <f t="shared" si="5"/>
        <v>0.6266857520822431</v>
      </c>
      <c r="N9" s="9">
        <f t="shared" si="6"/>
        <v>0.7345164398433902</v>
      </c>
      <c r="O9" s="9">
        <f t="shared" si="7"/>
        <v>0.8766857520822431</v>
      </c>
      <c r="P9" s="9">
        <f>sunrise(Location!$B$4,Location!$B$5,Location!$B$6,1,A9,Location!$B$7,0)</f>
        <v>0.3031936887988017</v>
      </c>
      <c r="Q9" s="9">
        <f>sunset(Location!$B$4,Location!$B$5,Location!$B$6,1,A9,Location!$B$7,0)</f>
        <v>0.7345164398433902</v>
      </c>
      <c r="R9" s="9">
        <f t="shared" si="8"/>
        <v>0.4313227510445885</v>
      </c>
      <c r="S9" s="10">
        <f t="shared" si="9"/>
        <v>0.03594356258704904</v>
      </c>
      <c r="T9" s="9">
        <f t="shared" si="10"/>
        <v>23.56867724895541</v>
      </c>
      <c r="U9" s="10">
        <f t="shared" si="11"/>
        <v>0.04738977074628429</v>
      </c>
    </row>
    <row r="10" spans="1:21" ht="12.75">
      <c r="A10" s="5">
        <v>8</v>
      </c>
      <c r="B10" s="51" t="str">
        <f aca="true" t="shared" si="12" ref="B10:B16">B3</f>
        <v>Thursday</v>
      </c>
      <c r="C10" s="59"/>
      <c r="D10" s="92" t="s">
        <v>72</v>
      </c>
      <c r="E10" s="8" t="s">
        <v>17</v>
      </c>
      <c r="F10" s="6" t="s">
        <v>39</v>
      </c>
      <c r="G10" s="136"/>
      <c r="H10" s="9">
        <f t="shared" si="0"/>
        <v>12.019150664556307</v>
      </c>
      <c r="I10" s="9">
        <f t="shared" si="1"/>
        <v>6.161193828183444</v>
      </c>
      <c r="J10" s="9">
        <f t="shared" si="2"/>
        <v>0.3032369918105824</v>
      </c>
      <c r="K10" s="9">
        <f t="shared" si="3"/>
        <v>0.41119382818344474</v>
      </c>
      <c r="L10" s="9">
        <f t="shared" si="4"/>
        <v>0.5191506645563071</v>
      </c>
      <c r="M10" s="9">
        <f t="shared" si="5"/>
        <v>0.6271075009291693</v>
      </c>
      <c r="N10" s="9">
        <f t="shared" si="6"/>
        <v>0.7350643373020317</v>
      </c>
      <c r="O10" s="9">
        <f t="shared" si="7"/>
        <v>0.8771075009291693</v>
      </c>
      <c r="P10" s="9">
        <f>sunrise(Location!$B$4,Location!$B$5,Location!$B$6,1,A10,Location!$B$7,0)</f>
        <v>0.3032369918105824</v>
      </c>
      <c r="Q10" s="9">
        <f>sunset(Location!$B$4,Location!$B$5,Location!$B$6,1,A10,Location!$B$7,0)</f>
        <v>0.7350643373020317</v>
      </c>
      <c r="R10" s="9">
        <f t="shared" si="8"/>
        <v>0.4318273454914493</v>
      </c>
      <c r="S10" s="10">
        <f t="shared" si="9"/>
        <v>0.03598561212428744</v>
      </c>
      <c r="T10" s="9">
        <f t="shared" si="10"/>
        <v>23.56817265450855</v>
      </c>
      <c r="U10" s="10">
        <f t="shared" si="11"/>
        <v>0.04734772120904589</v>
      </c>
    </row>
    <row r="11" spans="1:21" ht="12.75">
      <c r="A11" s="5">
        <v>9</v>
      </c>
      <c r="B11" s="51" t="str">
        <f t="shared" si="12"/>
        <v>Friday</v>
      </c>
      <c r="C11" s="59"/>
      <c r="D11" s="92" t="s">
        <v>75</v>
      </c>
      <c r="E11" s="8" t="s">
        <v>21</v>
      </c>
      <c r="F11" s="6" t="s">
        <v>41</v>
      </c>
      <c r="G11" s="136"/>
      <c r="H11" s="9">
        <f t="shared" si="0"/>
        <v>12.019440155753202</v>
      </c>
      <c r="I11" s="9">
        <f t="shared" si="1"/>
        <v>6.1613507703518895</v>
      </c>
      <c r="J11" s="9">
        <f t="shared" si="2"/>
        <v>0.303261384950578</v>
      </c>
      <c r="K11" s="9">
        <f t="shared" si="3"/>
        <v>0.4113507703518901</v>
      </c>
      <c r="L11" s="9">
        <f t="shared" si="4"/>
        <v>0.5194401557532022</v>
      </c>
      <c r="M11" s="9">
        <f t="shared" si="5"/>
        <v>0.6275295411545144</v>
      </c>
      <c r="N11" s="9">
        <f t="shared" si="6"/>
        <v>0.7356189265558266</v>
      </c>
      <c r="O11" s="9">
        <f t="shared" si="7"/>
        <v>0.8775295411545144</v>
      </c>
      <c r="P11" s="9">
        <f>sunrise(Location!$B$4,Location!$B$5,Location!$B$6,1,A11,Location!$B$7,0)</f>
        <v>0.303261384950578</v>
      </c>
      <c r="Q11" s="9">
        <f>sunset(Location!$B$4,Location!$B$5,Location!$B$6,1,A11,Location!$B$7,0)</f>
        <v>0.7356189265558266</v>
      </c>
      <c r="R11" s="9">
        <f t="shared" si="8"/>
        <v>0.43235754160524864</v>
      </c>
      <c r="S11" s="10">
        <f t="shared" si="9"/>
        <v>0.03602979513377072</v>
      </c>
      <c r="T11" s="9">
        <f t="shared" si="10"/>
        <v>23.56764245839475</v>
      </c>
      <c r="U11" s="10">
        <f t="shared" si="11"/>
        <v>0.04730353819956261</v>
      </c>
    </row>
    <row r="12" spans="1:21" ht="12.75">
      <c r="A12" s="5">
        <v>10</v>
      </c>
      <c r="B12" s="51" t="str">
        <f t="shared" si="12"/>
        <v>Saturday</v>
      </c>
      <c r="C12" s="59"/>
      <c r="D12" s="7"/>
      <c r="E12" s="8" t="s">
        <v>24</v>
      </c>
      <c r="F12" s="6" t="s">
        <v>43</v>
      </c>
      <c r="G12" s="137"/>
      <c r="H12" s="9">
        <f t="shared" si="0"/>
        <v>12.019723253454046</v>
      </c>
      <c r="I12" s="9">
        <f t="shared" si="1"/>
        <v>6.161495025659579</v>
      </c>
      <c r="J12" s="9">
        <f t="shared" si="2"/>
        <v>0.30326679786511074</v>
      </c>
      <c r="K12" s="9">
        <f t="shared" si="3"/>
        <v>0.4114950256595784</v>
      </c>
      <c r="L12" s="9">
        <f t="shared" si="4"/>
        <v>0.5197232534540461</v>
      </c>
      <c r="M12" s="9">
        <f t="shared" si="5"/>
        <v>0.6279514812485139</v>
      </c>
      <c r="N12" s="9">
        <f t="shared" si="6"/>
        <v>0.7361797090429815</v>
      </c>
      <c r="O12" s="9">
        <f t="shared" si="7"/>
        <v>0.8779514812485137</v>
      </c>
      <c r="P12" s="9">
        <f>sunrise(Location!$B$4,Location!$B$5,Location!$B$6,1,A12,Location!$B$7,0)</f>
        <v>0.30326679786511074</v>
      </c>
      <c r="Q12" s="9">
        <f>sunset(Location!$B$4,Location!$B$5,Location!$B$6,1,A12,Location!$B$7,0)</f>
        <v>0.7361797090429815</v>
      </c>
      <c r="R12" s="9">
        <f t="shared" si="8"/>
        <v>0.43291291117787073</v>
      </c>
      <c r="S12" s="10">
        <f t="shared" si="9"/>
        <v>0.036076075931489225</v>
      </c>
      <c r="T12" s="9">
        <f t="shared" si="10"/>
        <v>23.56708708882213</v>
      </c>
      <c r="U12" s="10">
        <f t="shared" si="11"/>
        <v>0.047257257401844104</v>
      </c>
    </row>
    <row r="13" spans="1:21" ht="12.75">
      <c r="A13" s="5">
        <v>11</v>
      </c>
      <c r="B13" s="51" t="str">
        <f t="shared" si="12"/>
        <v>Sunday</v>
      </c>
      <c r="C13" s="59"/>
      <c r="D13" s="92" t="s">
        <v>20</v>
      </c>
      <c r="E13" s="8" t="s">
        <v>26</v>
      </c>
      <c r="F13" s="6" t="s">
        <v>44</v>
      </c>
      <c r="G13" s="125" t="s">
        <v>265</v>
      </c>
      <c r="H13" s="9">
        <f t="shared" si="0"/>
        <v>12.019999683779131</v>
      </c>
      <c r="I13" s="9">
        <f t="shared" si="1"/>
        <v>6.161626430844279</v>
      </c>
      <c r="J13" s="9">
        <f t="shared" si="2"/>
        <v>0.3032531779094268</v>
      </c>
      <c r="K13" s="9">
        <f t="shared" si="3"/>
        <v>0.41162643084427886</v>
      </c>
      <c r="L13" s="9">
        <f t="shared" si="4"/>
        <v>0.519999683779131</v>
      </c>
      <c r="M13" s="9">
        <f t="shared" si="5"/>
        <v>0.628372936713983</v>
      </c>
      <c r="N13" s="9">
        <f t="shared" si="6"/>
        <v>0.7367461896488351</v>
      </c>
      <c r="O13" s="9">
        <f t="shared" si="7"/>
        <v>0.878372936713983</v>
      </c>
      <c r="P13" s="9">
        <f>sunrise(Location!$B$4,Location!$B$5,Location!$B$6,1,A13,Location!$B$7,0)</f>
        <v>0.3032531779094268</v>
      </c>
      <c r="Q13" s="9">
        <f>sunset(Location!$B$4,Location!$B$5,Location!$B$6,1,A13,Location!$B$7,0)</f>
        <v>0.7367461896488351</v>
      </c>
      <c r="R13" s="9">
        <f t="shared" si="8"/>
        <v>0.4334930117394083</v>
      </c>
      <c r="S13" s="10">
        <f t="shared" si="9"/>
        <v>0.03612441764495069</v>
      </c>
      <c r="T13" s="9">
        <f t="shared" si="10"/>
        <v>23.566506988260592</v>
      </c>
      <c r="U13" s="10">
        <f t="shared" si="11"/>
        <v>0.04720891568838264</v>
      </c>
    </row>
    <row r="14" spans="1:21" ht="12.75">
      <c r="A14" s="5">
        <v>12</v>
      </c>
      <c r="B14" s="51" t="str">
        <f t="shared" si="12"/>
        <v>Monday</v>
      </c>
      <c r="C14" s="59"/>
      <c r="D14" s="7"/>
      <c r="E14" s="8" t="s">
        <v>29</v>
      </c>
      <c r="F14" s="6" t="s">
        <v>46</v>
      </c>
      <c r="G14" s="136"/>
      <c r="H14" s="9">
        <f t="shared" si="0"/>
        <v>12.020269183789999</v>
      </c>
      <c r="I14" s="9">
        <f t="shared" si="1"/>
        <v>6.161744836851612</v>
      </c>
      <c r="J14" s="9">
        <f t="shared" si="2"/>
        <v>0.3032204899132245</v>
      </c>
      <c r="K14" s="9">
        <f t="shared" si="3"/>
        <v>0.4117448368516118</v>
      </c>
      <c r="L14" s="9">
        <f t="shared" si="4"/>
        <v>0.5202691837899991</v>
      </c>
      <c r="M14" s="9">
        <f t="shared" si="5"/>
        <v>0.6287935307283865</v>
      </c>
      <c r="N14" s="9">
        <f t="shared" si="6"/>
        <v>0.7373178776667738</v>
      </c>
      <c r="O14" s="9">
        <f t="shared" si="7"/>
        <v>0.8787935307283865</v>
      </c>
      <c r="P14" s="9">
        <f>sunrise(Location!$B$4,Location!$B$5,Location!$B$6,1,A14,Location!$B$7,0)</f>
        <v>0.3032204899132245</v>
      </c>
      <c r="Q14" s="9">
        <f>sunset(Location!$B$4,Location!$B$5,Location!$B$6,1,A14,Location!$B$7,0)</f>
        <v>0.7373178776667738</v>
      </c>
      <c r="R14" s="9">
        <f t="shared" si="8"/>
        <v>0.43409738775354934</v>
      </c>
      <c r="S14" s="10">
        <f t="shared" si="9"/>
        <v>0.03617478231279578</v>
      </c>
      <c r="T14" s="9">
        <f t="shared" si="10"/>
        <v>23.56590261224645</v>
      </c>
      <c r="U14" s="10">
        <f t="shared" si="11"/>
        <v>0.04715855102053755</v>
      </c>
    </row>
    <row r="15" spans="1:21" ht="12.75">
      <c r="A15" s="5">
        <v>13</v>
      </c>
      <c r="B15" s="51" t="str">
        <f t="shared" si="12"/>
        <v>Tuesday</v>
      </c>
      <c r="C15" s="59"/>
      <c r="D15" s="92" t="s">
        <v>23</v>
      </c>
      <c r="E15" s="8" t="s">
        <v>32</v>
      </c>
      <c r="F15" s="6" t="s">
        <v>47</v>
      </c>
      <c r="G15" s="137"/>
      <c r="H15" s="9">
        <f t="shared" si="0"/>
        <v>12.020531501826387</v>
      </c>
      <c r="I15" s="9">
        <f t="shared" si="1"/>
        <v>6.161850108871487</v>
      </c>
      <c r="J15" s="9">
        <f t="shared" si="2"/>
        <v>0.30316871591658817</v>
      </c>
      <c r="K15" s="9">
        <f t="shared" si="3"/>
        <v>0.41185010887148765</v>
      </c>
      <c r="L15" s="9">
        <f t="shared" si="4"/>
        <v>0.5205315018263871</v>
      </c>
      <c r="M15" s="9">
        <f t="shared" si="5"/>
        <v>0.6292128947812865</v>
      </c>
      <c r="N15" s="9">
        <f t="shared" si="6"/>
        <v>0.7378942877361859</v>
      </c>
      <c r="O15" s="9">
        <f t="shared" si="7"/>
        <v>0.8792128947812865</v>
      </c>
      <c r="P15" s="9">
        <f>sunrise(Location!$B$4,Location!$B$5,Location!$B$6,1,A15,Location!$B$7,0)</f>
        <v>0.30316871591658817</v>
      </c>
      <c r="Q15" s="9">
        <f>sunset(Location!$B$4,Location!$B$5,Location!$B$6,1,A15,Location!$B$7,0)</f>
        <v>0.7378942877361859</v>
      </c>
      <c r="R15" s="9">
        <f t="shared" si="8"/>
        <v>0.43472557181959776</v>
      </c>
      <c r="S15" s="10">
        <f t="shared" si="9"/>
        <v>0.03622713098496648</v>
      </c>
      <c r="T15" s="9">
        <f t="shared" si="10"/>
        <v>23.565274428180402</v>
      </c>
      <c r="U15" s="10">
        <f t="shared" si="11"/>
        <v>0.04710620234836685</v>
      </c>
    </row>
    <row r="16" spans="1:21" ht="12.75">
      <c r="A16" s="5">
        <v>14</v>
      </c>
      <c r="B16" s="51" t="str">
        <f t="shared" si="12"/>
        <v>Wednesday</v>
      </c>
      <c r="C16" s="59"/>
      <c r="D16" s="92" t="s">
        <v>28</v>
      </c>
      <c r="E16" s="8" t="s">
        <v>36</v>
      </c>
      <c r="F16" s="6" t="s">
        <v>49</v>
      </c>
      <c r="G16" s="136"/>
      <c r="H16" s="9">
        <f t="shared" si="0"/>
        <v>12.020786397815161</v>
      </c>
      <c r="I16" s="9">
        <f t="shared" si="1"/>
        <v>6.161942126347073</v>
      </c>
      <c r="J16" s="9">
        <f t="shared" si="2"/>
        <v>0.30309785487898394</v>
      </c>
      <c r="K16" s="9">
        <f t="shared" si="3"/>
        <v>0.41194212634707295</v>
      </c>
      <c r="L16" s="9">
        <f t="shared" si="4"/>
        <v>0.5207863978151619</v>
      </c>
      <c r="M16" s="9">
        <f t="shared" si="5"/>
        <v>0.6296306692832508</v>
      </c>
      <c r="N16" s="9">
        <f t="shared" si="6"/>
        <v>0.7384749407513398</v>
      </c>
      <c r="O16" s="9">
        <f t="shared" si="7"/>
        <v>0.8796306692832508</v>
      </c>
      <c r="P16" s="9">
        <f>sunrise(Location!$B$4,Location!$B$5,Location!$B$6,1,A16,Location!$B$7,0)</f>
        <v>0.30309785487898394</v>
      </c>
      <c r="Q16" s="9">
        <f>sunset(Location!$B$4,Location!$B$5,Location!$B$6,1,A16,Location!$B$7,0)</f>
        <v>0.7384749407513398</v>
      </c>
      <c r="R16" s="9">
        <f t="shared" si="8"/>
        <v>0.43537708587235585</v>
      </c>
      <c r="S16" s="10">
        <f t="shared" si="9"/>
        <v>0.03628142382269632</v>
      </c>
      <c r="T16" s="9">
        <f t="shared" si="10"/>
        <v>23.564622914127643</v>
      </c>
      <c r="U16" s="10">
        <f t="shared" si="11"/>
        <v>0.04705190951063701</v>
      </c>
    </row>
    <row r="17" spans="1:21" ht="12.75">
      <c r="A17" s="5">
        <v>15</v>
      </c>
      <c r="B17" s="51" t="str">
        <f aca="true" t="shared" si="13" ref="B17:B23">B3</f>
        <v>Thursday</v>
      </c>
      <c r="C17" s="59"/>
      <c r="D17" s="7"/>
      <c r="E17" s="8" t="s">
        <v>17</v>
      </c>
      <c r="F17" s="6" t="s">
        <v>51</v>
      </c>
      <c r="G17" s="136"/>
      <c r="H17" s="9">
        <f t="shared" si="0"/>
        <v>12.021033643552473</v>
      </c>
      <c r="I17" s="9">
        <f t="shared" si="1"/>
        <v>6.162020782957869</v>
      </c>
      <c r="J17" s="9">
        <f t="shared" si="2"/>
        <v>0.303007922363266</v>
      </c>
      <c r="K17" s="9">
        <f t="shared" si="3"/>
        <v>0.41202078295787004</v>
      </c>
      <c r="L17" s="9">
        <f t="shared" si="4"/>
        <v>0.5210336435524741</v>
      </c>
      <c r="M17" s="9">
        <f t="shared" si="5"/>
        <v>0.6300465041470781</v>
      </c>
      <c r="N17" s="9">
        <f t="shared" si="6"/>
        <v>0.7390593647416821</v>
      </c>
      <c r="O17" s="9">
        <f t="shared" si="7"/>
        <v>0.8800465041470781</v>
      </c>
      <c r="P17" s="9">
        <f>sunrise(Location!$B$4,Location!$B$5,Location!$B$6,1,A17,Location!$B$7,0)</f>
        <v>0.303007922363266</v>
      </c>
      <c r="Q17" s="9">
        <f>sunset(Location!$B$4,Location!$B$5,Location!$B$6,1,A17,Location!$B$7,0)</f>
        <v>0.7390593647416821</v>
      </c>
      <c r="R17" s="9">
        <f t="shared" si="8"/>
        <v>0.4360514423784161</v>
      </c>
      <c r="S17" s="10">
        <f t="shared" si="9"/>
        <v>0.03633762019820134</v>
      </c>
      <c r="T17" s="9">
        <f t="shared" si="10"/>
        <v>23.563948557621583</v>
      </c>
      <c r="U17" s="10">
        <f t="shared" si="11"/>
        <v>0.04699571313513199</v>
      </c>
    </row>
    <row r="18" spans="1:21" ht="12.75">
      <c r="A18" s="5">
        <v>16</v>
      </c>
      <c r="B18" s="51" t="str">
        <f t="shared" si="13"/>
        <v>Friday</v>
      </c>
      <c r="C18" s="59"/>
      <c r="D18" s="92" t="s">
        <v>35</v>
      </c>
      <c r="E18" s="8" t="s">
        <v>21</v>
      </c>
      <c r="F18" s="6" t="s">
        <v>52</v>
      </c>
      <c r="G18" s="137"/>
      <c r="H18" s="9">
        <f t="shared" si="0"/>
        <v>12.021273022955997</v>
      </c>
      <c r="I18" s="9">
        <f t="shared" si="1"/>
        <v>6.162085986576701</v>
      </c>
      <c r="J18" s="9">
        <f t="shared" si="2"/>
        <v>0.30289895019740387</v>
      </c>
      <c r="K18" s="9">
        <f t="shared" si="3"/>
        <v>0.41208598657669976</v>
      </c>
      <c r="L18" s="9">
        <f t="shared" si="4"/>
        <v>0.5212730229559956</v>
      </c>
      <c r="M18" s="9">
        <f t="shared" si="5"/>
        <v>0.6304600593352915</v>
      </c>
      <c r="N18" s="9">
        <f t="shared" si="6"/>
        <v>0.7396470957145873</v>
      </c>
      <c r="O18" s="9">
        <f t="shared" si="7"/>
        <v>0.8804600593352914</v>
      </c>
      <c r="P18" s="9">
        <f>sunrise(Location!$B$4,Location!$B$5,Location!$B$6,1,A18,Location!$B$7,0)</f>
        <v>0.30289895019740387</v>
      </c>
      <c r="Q18" s="9">
        <f>sunset(Location!$B$4,Location!$B$5,Location!$B$6,1,A18,Location!$B$7,0)</f>
        <v>0.7396470957145873</v>
      </c>
      <c r="R18" s="9">
        <f t="shared" si="8"/>
        <v>0.43674814551718344</v>
      </c>
      <c r="S18" s="10">
        <f t="shared" si="9"/>
        <v>0.03639567879309862</v>
      </c>
      <c r="T18" s="9">
        <f t="shared" si="10"/>
        <v>23.563251854482818</v>
      </c>
      <c r="U18" s="10">
        <f t="shared" si="11"/>
        <v>0.046937654540234706</v>
      </c>
    </row>
    <row r="19" spans="1:21" ht="12.75">
      <c r="A19" s="5">
        <v>17</v>
      </c>
      <c r="B19" s="51" t="str">
        <f t="shared" si="13"/>
        <v>Saturday</v>
      </c>
      <c r="C19" s="59"/>
      <c r="D19" s="92" t="s">
        <v>38</v>
      </c>
      <c r="E19" s="8" t="s">
        <v>24</v>
      </c>
      <c r="F19" s="6" t="s">
        <v>54</v>
      </c>
      <c r="G19" s="136"/>
      <c r="H19" s="9">
        <f t="shared" si="0"/>
        <v>12.021504332291268</v>
      </c>
      <c r="I19" s="9">
        <f t="shared" si="1"/>
        <v>6.162137659203527</v>
      </c>
      <c r="J19" s="9">
        <f t="shared" si="2"/>
        <v>0.3027709861157849</v>
      </c>
      <c r="K19" s="9">
        <f t="shared" si="3"/>
        <v>0.4121376592035267</v>
      </c>
      <c r="L19" s="9">
        <f t="shared" si="4"/>
        <v>0.5215043322912685</v>
      </c>
      <c r="M19" s="9">
        <f t="shared" si="5"/>
        <v>0.6308710053790103</v>
      </c>
      <c r="N19" s="9">
        <f t="shared" si="6"/>
        <v>0.7402376784667521</v>
      </c>
      <c r="O19" s="9">
        <f t="shared" si="7"/>
        <v>0.8808710053790103</v>
      </c>
      <c r="P19" s="9">
        <f>sunrise(Location!$B$4,Location!$B$5,Location!$B$6,1,A19,Location!$B$7,0)</f>
        <v>0.3027709861157849</v>
      </c>
      <c r="Q19" s="9">
        <f>sunset(Location!$B$4,Location!$B$5,Location!$B$6,1,A19,Location!$B$7,0)</f>
        <v>0.7402376784667521</v>
      </c>
      <c r="R19" s="9">
        <f t="shared" si="8"/>
        <v>0.43746669235096725</v>
      </c>
      <c r="S19" s="10">
        <f t="shared" si="9"/>
        <v>0.03645555769591394</v>
      </c>
      <c r="T19" s="9">
        <f t="shared" si="10"/>
        <v>23.562533307649034</v>
      </c>
      <c r="U19" s="10">
        <f t="shared" si="11"/>
        <v>0.04687777563741939</v>
      </c>
    </row>
    <row r="20" spans="1:21" ht="12.75">
      <c r="A20" s="5">
        <v>18</v>
      </c>
      <c r="B20" s="51" t="str">
        <f t="shared" si="13"/>
        <v>Sunday</v>
      </c>
      <c r="C20" s="59"/>
      <c r="D20" s="7"/>
      <c r="E20" s="8" t="s">
        <v>26</v>
      </c>
      <c r="F20" s="6" t="s">
        <v>56</v>
      </c>
      <c r="G20" s="138" t="s">
        <v>266</v>
      </c>
      <c r="H20" s="9">
        <f t="shared" si="0"/>
        <v>12.021727380367183</v>
      </c>
      <c r="I20" s="9">
        <f t="shared" si="1"/>
        <v>6.1621757368749455</v>
      </c>
      <c r="J20" s="9">
        <f t="shared" si="2"/>
        <v>0.30262409338270724</v>
      </c>
      <c r="K20" s="9">
        <f t="shared" si="3"/>
        <v>0.412175736874945</v>
      </c>
      <c r="L20" s="9">
        <f t="shared" si="4"/>
        <v>0.5217273803671828</v>
      </c>
      <c r="M20" s="9">
        <f t="shared" si="5"/>
        <v>0.6312790238594206</v>
      </c>
      <c r="N20" s="9">
        <f t="shared" si="6"/>
        <v>0.7408306673516584</v>
      </c>
      <c r="O20" s="9">
        <f t="shared" si="7"/>
        <v>0.8812790238594206</v>
      </c>
      <c r="P20" s="9">
        <f>sunrise(Location!$B$4,Location!$B$5,Location!$B$6,1,A20,Location!$B$7,0)</f>
        <v>0.30262409338270724</v>
      </c>
      <c r="Q20" s="9">
        <f>sunset(Location!$B$4,Location!$B$5,Location!$B$6,1,A20,Location!$B$7,0)</f>
        <v>0.7408306673516584</v>
      </c>
      <c r="R20" s="9">
        <f t="shared" si="8"/>
        <v>0.43820657396895113</v>
      </c>
      <c r="S20" s="10">
        <f t="shared" si="9"/>
        <v>0.036517214497412596</v>
      </c>
      <c r="T20" s="9">
        <f t="shared" si="10"/>
        <v>23.56179342603105</v>
      </c>
      <c r="U20" s="10">
        <f t="shared" si="11"/>
        <v>0.04681611883592073</v>
      </c>
    </row>
    <row r="21" spans="1:21" ht="12.75">
      <c r="A21" s="5">
        <v>19</v>
      </c>
      <c r="B21" s="51" t="str">
        <f t="shared" si="13"/>
        <v>Monday</v>
      </c>
      <c r="C21" s="59"/>
      <c r="D21" s="92" t="s">
        <v>40</v>
      </c>
      <c r="E21" s="8" t="s">
        <v>29</v>
      </c>
      <c r="F21" s="6" t="s">
        <v>57</v>
      </c>
      <c r="G21" s="50" t="s">
        <v>58</v>
      </c>
      <c r="H21" s="9">
        <f t="shared" si="0"/>
        <v>12.021941988704391</v>
      </c>
      <c r="I21" s="9">
        <f t="shared" si="1"/>
        <v>6.162200169552069</v>
      </c>
      <c r="J21" s="9">
        <f t="shared" si="2"/>
        <v>0.30245835039974694</v>
      </c>
      <c r="K21" s="9">
        <f t="shared" si="3"/>
        <v>0.41220016955206906</v>
      </c>
      <c r="L21" s="9">
        <f t="shared" si="4"/>
        <v>0.5219419887043912</v>
      </c>
      <c r="M21" s="9">
        <f t="shared" si="5"/>
        <v>0.6316838078567133</v>
      </c>
      <c r="N21" s="9">
        <f t="shared" si="6"/>
        <v>0.7414256270090355</v>
      </c>
      <c r="O21" s="9">
        <f t="shared" si="7"/>
        <v>0.8816838078567133</v>
      </c>
      <c r="P21" s="9">
        <f>sunrise(Location!$B$4,Location!$B$5,Location!$B$6,1,A21,Location!$B$7,0)</f>
        <v>0.30245835039974694</v>
      </c>
      <c r="Q21" s="9">
        <f>sunset(Location!$B$4,Location!$B$5,Location!$B$6,1,A21,Location!$B$7,0)</f>
        <v>0.7414256270090355</v>
      </c>
      <c r="R21" s="9">
        <f t="shared" si="8"/>
        <v>0.4389672766092885</v>
      </c>
      <c r="S21" s="10">
        <f t="shared" si="9"/>
        <v>0.03658060638410738</v>
      </c>
      <c r="T21" s="9">
        <f t="shared" si="10"/>
        <v>23.56103272339071</v>
      </c>
      <c r="U21" s="10">
        <f t="shared" si="11"/>
        <v>0.04675272694922595</v>
      </c>
    </row>
    <row r="22" spans="1:21" ht="12.75">
      <c r="A22" s="5">
        <v>20</v>
      </c>
      <c r="B22" s="51" t="str">
        <f t="shared" si="13"/>
        <v>Tuesday</v>
      </c>
      <c r="C22" s="59"/>
      <c r="D22" s="92" t="s">
        <v>42</v>
      </c>
      <c r="E22" s="8" t="s">
        <v>32</v>
      </c>
      <c r="F22" s="6" t="s">
        <v>60</v>
      </c>
      <c r="G22" s="136"/>
      <c r="H22" s="9">
        <f t="shared" si="0"/>
        <v>12.022147991674336</v>
      </c>
      <c r="I22" s="9">
        <f t="shared" si="1"/>
        <v>6.16221092098692</v>
      </c>
      <c r="J22" s="9">
        <f t="shared" si="2"/>
        <v>0.3022738502995033</v>
      </c>
      <c r="K22" s="9">
        <f t="shared" si="3"/>
        <v>0.4122109209869197</v>
      </c>
      <c r="L22" s="9">
        <f t="shared" si="4"/>
        <v>0.5221479916743361</v>
      </c>
      <c r="M22" s="9">
        <f t="shared" si="5"/>
        <v>0.6320850623617524</v>
      </c>
      <c r="N22" s="9">
        <f t="shared" si="6"/>
        <v>0.7420221330491689</v>
      </c>
      <c r="O22" s="9">
        <f t="shared" si="7"/>
        <v>0.8820850623617524</v>
      </c>
      <c r="P22" s="9">
        <f>sunrise(Location!$B$4,Location!$B$5,Location!$B$6,1,A22,Location!$B$7,0)</f>
        <v>0.3022738502995033</v>
      </c>
      <c r="Q22" s="9">
        <f>sunset(Location!$B$4,Location!$B$5,Location!$B$6,1,A22,Location!$B$7,0)</f>
        <v>0.7420221330491689</v>
      </c>
      <c r="R22" s="9">
        <f t="shared" si="8"/>
        <v>0.43974828274966554</v>
      </c>
      <c r="S22" s="10">
        <f t="shared" si="9"/>
        <v>0.03664569022913879</v>
      </c>
      <c r="T22" s="9">
        <f t="shared" si="10"/>
        <v>23.560251717250335</v>
      </c>
      <c r="U22" s="10">
        <f t="shared" si="11"/>
        <v>0.046687643104194536</v>
      </c>
    </row>
    <row r="23" spans="1:21" ht="12.75">
      <c r="A23" s="5">
        <v>21</v>
      </c>
      <c r="B23" s="51" t="str">
        <f t="shared" si="13"/>
        <v>Wednesday</v>
      </c>
      <c r="C23" s="59"/>
      <c r="D23" s="7"/>
      <c r="E23" s="8" t="s">
        <v>36</v>
      </c>
      <c r="F23" s="6" t="s">
        <v>62</v>
      </c>
      <c r="G23" s="136"/>
      <c r="H23" s="9">
        <f t="shared" si="0"/>
        <v>12.022345236610288</v>
      </c>
      <c r="I23" s="9">
        <f t="shared" si="1"/>
        <v>6.162207968568746</v>
      </c>
      <c r="J23" s="9">
        <f t="shared" si="2"/>
        <v>0.30207070052720225</v>
      </c>
      <c r="K23" s="9">
        <f t="shared" si="3"/>
        <v>0.4122079685687454</v>
      </c>
      <c r="L23" s="9">
        <f t="shared" si="4"/>
        <v>0.5223452366102886</v>
      </c>
      <c r="M23" s="9">
        <f t="shared" si="5"/>
        <v>0.6324825046518319</v>
      </c>
      <c r="N23" s="9">
        <f t="shared" si="6"/>
        <v>0.7426197726933751</v>
      </c>
      <c r="O23" s="9">
        <f t="shared" si="7"/>
        <v>0.8824825046518319</v>
      </c>
      <c r="P23" s="9">
        <f>sunrise(Location!$B$4,Location!$B$5,Location!$B$6,1,A23,Location!$B$7,0)</f>
        <v>0.30207070052720225</v>
      </c>
      <c r="Q23" s="9">
        <f>sunset(Location!$B$4,Location!$B$5,Location!$B$6,1,A23,Location!$B$7,0)</f>
        <v>0.7426197726933751</v>
      </c>
      <c r="R23" s="9">
        <f t="shared" si="8"/>
        <v>0.44054907216617284</v>
      </c>
      <c r="S23" s="10">
        <f t="shared" si="9"/>
        <v>0.0367124226805144</v>
      </c>
      <c r="T23" s="9">
        <f t="shared" si="10"/>
        <v>23.559450927833826</v>
      </c>
      <c r="U23" s="10">
        <f t="shared" si="11"/>
        <v>0.046620910652818925</v>
      </c>
    </row>
    <row r="24" spans="1:21" ht="12.75">
      <c r="A24" s="5">
        <v>22</v>
      </c>
      <c r="B24" s="51" t="str">
        <f aca="true" t="shared" si="14" ref="B24:B30">B3</f>
        <v>Thursday</v>
      </c>
      <c r="C24" s="59"/>
      <c r="D24" s="92" t="s">
        <v>45</v>
      </c>
      <c r="E24" s="8" t="s">
        <v>17</v>
      </c>
      <c r="F24" s="6" t="s">
        <v>63</v>
      </c>
      <c r="G24" s="136"/>
      <c r="H24" s="9">
        <f t="shared" si="0"/>
        <v>12.022533583889812</v>
      </c>
      <c r="I24" s="9">
        <f t="shared" si="1"/>
        <v>6.1621913031509195</v>
      </c>
      <c r="J24" s="9">
        <f t="shared" si="2"/>
        <v>0.30184902241202594</v>
      </c>
      <c r="K24" s="9">
        <f t="shared" si="3"/>
        <v>0.4121913031509195</v>
      </c>
      <c r="L24" s="9">
        <f t="shared" si="4"/>
        <v>0.5225335838898131</v>
      </c>
      <c r="M24" s="9">
        <f t="shared" si="5"/>
        <v>0.6328758646287066</v>
      </c>
      <c r="N24" s="9">
        <f t="shared" si="6"/>
        <v>0.7432181453676001</v>
      </c>
      <c r="O24" s="9">
        <f t="shared" si="7"/>
        <v>0.8828758646287066</v>
      </c>
      <c r="P24" s="9">
        <f>sunrise(Location!$B$4,Location!$B$5,Location!$B$6,1,A24,Location!$B$7,0)</f>
        <v>0.30184902241202594</v>
      </c>
      <c r="Q24" s="9">
        <f>sunset(Location!$B$4,Location!$B$5,Location!$B$6,1,A24,Location!$B$7,0)</f>
        <v>0.7432181453676001</v>
      </c>
      <c r="R24" s="9">
        <f t="shared" si="8"/>
        <v>0.4413691229555742</v>
      </c>
      <c r="S24" s="10">
        <f t="shared" si="9"/>
        <v>0.036780760246297846</v>
      </c>
      <c r="T24" s="9">
        <f t="shared" si="10"/>
        <v>23.558630877044425</v>
      </c>
      <c r="U24" s="10">
        <f t="shared" si="11"/>
        <v>0.04655257308703548</v>
      </c>
    </row>
    <row r="25" spans="1:21" ht="12.75">
      <c r="A25" s="5">
        <v>23</v>
      </c>
      <c r="B25" s="51" t="str">
        <f t="shared" si="14"/>
        <v>Friday</v>
      </c>
      <c r="C25" s="59"/>
      <c r="D25" s="7"/>
      <c r="E25" s="8" t="s">
        <v>21</v>
      </c>
      <c r="F25" s="6" t="s">
        <v>65</v>
      </c>
      <c r="G25" s="136"/>
      <c r="H25" s="9">
        <f t="shared" si="0"/>
        <v>12.022712906989684</v>
      </c>
      <c r="I25" s="9">
        <f t="shared" si="1"/>
        <v>6.162160928860112</v>
      </c>
      <c r="J25" s="9">
        <f t="shared" si="2"/>
        <v>0.3016089507305402</v>
      </c>
      <c r="K25" s="9">
        <f t="shared" si="3"/>
        <v>0.41216092886011224</v>
      </c>
      <c r="L25" s="9">
        <f t="shared" si="4"/>
        <v>0.5227129069896842</v>
      </c>
      <c r="M25" s="9">
        <f t="shared" si="5"/>
        <v>0.6332648851192562</v>
      </c>
      <c r="N25" s="9">
        <f t="shared" si="6"/>
        <v>0.7438168632488282</v>
      </c>
      <c r="O25" s="9">
        <f t="shared" si="7"/>
        <v>0.8832648851192562</v>
      </c>
      <c r="P25" s="9">
        <f>sunrise(Location!$B$4,Location!$B$5,Location!$B$6,1,A25,Location!$B$7,0)</f>
        <v>0.3016089507305402</v>
      </c>
      <c r="Q25" s="9">
        <f>sunset(Location!$B$4,Location!$B$5,Location!$B$6,1,A25,Location!$B$7,0)</f>
        <v>0.7438168632488282</v>
      </c>
      <c r="R25" s="9">
        <f t="shared" si="8"/>
        <v>0.442207912518288</v>
      </c>
      <c r="S25" s="10">
        <f t="shared" si="9"/>
        <v>0.036850659376524</v>
      </c>
      <c r="T25" s="9">
        <f t="shared" si="10"/>
        <v>23.55779208748171</v>
      </c>
      <c r="U25" s="10">
        <f t="shared" si="11"/>
        <v>0.04648267395680933</v>
      </c>
    </row>
    <row r="26" spans="1:21" ht="12.75">
      <c r="A26" s="5">
        <v>24</v>
      </c>
      <c r="B26" s="51" t="str">
        <f t="shared" si="14"/>
        <v>Saturday</v>
      </c>
      <c r="C26" s="59"/>
      <c r="D26" s="92" t="s">
        <v>48</v>
      </c>
      <c r="E26" s="8" t="s">
        <v>24</v>
      </c>
      <c r="F26" s="6" t="s">
        <v>66</v>
      </c>
      <c r="G26" s="136"/>
      <c r="H26" s="9">
        <f t="shared" si="0"/>
        <v>12.022883092512284</v>
      </c>
      <c r="I26" s="9">
        <f t="shared" si="1"/>
        <v>6.16211686288753</v>
      </c>
      <c r="J26" s="9">
        <f t="shared" si="2"/>
        <v>0.3013506332627752</v>
      </c>
      <c r="K26" s="9">
        <f t="shared" si="3"/>
        <v>0.41211686288752997</v>
      </c>
      <c r="L26" s="9">
        <f t="shared" si="4"/>
        <v>0.5228830925122847</v>
      </c>
      <c r="M26" s="9">
        <f t="shared" si="5"/>
        <v>0.6336493221370394</v>
      </c>
      <c r="N26" s="9">
        <f t="shared" si="6"/>
        <v>0.7444155517617942</v>
      </c>
      <c r="O26" s="9">
        <f t="shared" si="7"/>
        <v>0.8836493221370394</v>
      </c>
      <c r="P26" s="9">
        <f>sunrise(Location!$B$4,Location!$B$5,Location!$B$6,1,A26,Location!$B$7,0)</f>
        <v>0.3013506332627752</v>
      </c>
      <c r="Q26" s="9">
        <f>sunset(Location!$B$4,Location!$B$5,Location!$B$6,1,A26,Location!$B$7,0)</f>
        <v>0.7444155517617942</v>
      </c>
      <c r="R26" s="9">
        <f t="shared" si="8"/>
        <v>0.44306491849901897</v>
      </c>
      <c r="S26" s="10">
        <f t="shared" si="9"/>
        <v>0.036922076541584914</v>
      </c>
      <c r="T26" s="9">
        <f t="shared" si="10"/>
        <v>23.55693508150098</v>
      </c>
      <c r="U26" s="10">
        <f t="shared" si="11"/>
        <v>0.046411256791748415</v>
      </c>
    </row>
    <row r="27" spans="1:21" ht="12.75">
      <c r="A27" s="5">
        <v>25</v>
      </c>
      <c r="B27" s="51" t="str">
        <f t="shared" si="14"/>
        <v>Sunday</v>
      </c>
      <c r="C27" s="59"/>
      <c r="D27" s="92" t="s">
        <v>50</v>
      </c>
      <c r="E27" s="8" t="s">
        <v>26</v>
      </c>
      <c r="F27" s="6" t="s">
        <v>68</v>
      </c>
      <c r="G27" s="138" t="s">
        <v>268</v>
      </c>
      <c r="H27" s="9">
        <f t="shared" si="0"/>
        <v>12.023044040187008</v>
      </c>
      <c r="I27" s="9">
        <f t="shared" si="1"/>
        <v>6.162059135265435</v>
      </c>
      <c r="J27" s="9">
        <f t="shared" si="2"/>
        <v>0.3010742303438606</v>
      </c>
      <c r="K27" s="9">
        <f t="shared" si="3"/>
        <v>0.412059135265434</v>
      </c>
      <c r="L27" s="9">
        <f t="shared" si="4"/>
        <v>0.5230440401870073</v>
      </c>
      <c r="M27" s="9">
        <f t="shared" si="5"/>
        <v>0.6340289451085808</v>
      </c>
      <c r="N27" s="9">
        <f t="shared" si="6"/>
        <v>0.7450138500301542</v>
      </c>
      <c r="O27" s="9">
        <f t="shared" si="7"/>
        <v>0.8840289451085808</v>
      </c>
      <c r="P27" s="9">
        <f>sunrise(Location!$B$4,Location!$B$5,Location!$B$6,1,A27,Location!$B$7,0)</f>
        <v>0.3010742303438606</v>
      </c>
      <c r="Q27" s="9">
        <f>sunset(Location!$B$4,Location!$B$5,Location!$B$6,1,A27,Location!$B$7,0)</f>
        <v>0.7450138500301542</v>
      </c>
      <c r="R27" s="9">
        <f t="shared" si="8"/>
        <v>0.4439396196862936</v>
      </c>
      <c r="S27" s="10">
        <f t="shared" si="9"/>
        <v>0.03699496830719113</v>
      </c>
      <c r="T27" s="9">
        <f t="shared" si="10"/>
        <v>23.556060380313706</v>
      </c>
      <c r="U27" s="10">
        <f t="shared" si="11"/>
        <v>0.0463383650261422</v>
      </c>
    </row>
    <row r="28" spans="1:21" ht="12.75">
      <c r="A28" s="5">
        <v>26</v>
      </c>
      <c r="B28" s="51" t="str">
        <f t="shared" si="14"/>
        <v>Monday</v>
      </c>
      <c r="C28" s="59"/>
      <c r="D28" s="7"/>
      <c r="E28" s="8" t="s">
        <v>29</v>
      </c>
      <c r="F28" s="6" t="s">
        <v>70</v>
      </c>
      <c r="G28" s="125" t="s">
        <v>267</v>
      </c>
      <c r="H28" s="9">
        <f t="shared" si="0"/>
        <v>12.023195662842392</v>
      </c>
      <c r="I28" s="9">
        <f t="shared" si="1"/>
        <v>6.16198778862645</v>
      </c>
      <c r="J28" s="9">
        <f t="shared" si="2"/>
        <v>0.30077991441050933</v>
      </c>
      <c r="K28" s="9">
        <f t="shared" si="3"/>
        <v>0.4119877886264505</v>
      </c>
      <c r="L28" s="9">
        <f t="shared" si="4"/>
        <v>0.5231956628423917</v>
      </c>
      <c r="M28" s="9">
        <f t="shared" si="5"/>
        <v>0.634403537058333</v>
      </c>
      <c r="N28" s="9">
        <f t="shared" si="6"/>
        <v>0.7456114112742741</v>
      </c>
      <c r="O28" s="9">
        <f t="shared" si="7"/>
        <v>0.884403537058333</v>
      </c>
      <c r="P28" s="9">
        <f>sunrise(Location!$B$4,Location!$B$5,Location!$B$6,1,A28,Location!$B$7,0)</f>
        <v>0.30077991441050933</v>
      </c>
      <c r="Q28" s="9">
        <f>sunset(Location!$B$4,Location!$B$5,Location!$B$6,1,A28,Location!$B$7,0)</f>
        <v>0.7456114112742741</v>
      </c>
      <c r="R28" s="9">
        <f t="shared" si="8"/>
        <v>0.4448314968637648</v>
      </c>
      <c r="S28" s="10">
        <f t="shared" si="9"/>
        <v>0.03706929140531373</v>
      </c>
      <c r="T28" s="9">
        <f t="shared" si="10"/>
        <v>23.555168503136237</v>
      </c>
      <c r="U28" s="10">
        <f t="shared" si="11"/>
        <v>0.0462640419280196</v>
      </c>
    </row>
    <row r="29" spans="1:21" ht="12.75">
      <c r="A29" s="5">
        <v>27</v>
      </c>
      <c r="B29" s="51" t="str">
        <f t="shared" si="14"/>
        <v>Tuesday</v>
      </c>
      <c r="C29" s="59"/>
      <c r="D29" s="92" t="s">
        <v>53</v>
      </c>
      <c r="E29" s="8" t="s">
        <v>32</v>
      </c>
      <c r="F29" s="6" t="s">
        <v>71</v>
      </c>
      <c r="G29" s="136"/>
      <c r="H29" s="9">
        <f t="shared" si="0"/>
        <v>12.02333788635461</v>
      </c>
      <c r="I29" s="9">
        <f t="shared" si="1"/>
        <v>6.161902877950915</v>
      </c>
      <c r="J29" s="9">
        <f t="shared" si="2"/>
        <v>0.3004678695472199</v>
      </c>
      <c r="K29" s="9">
        <f t="shared" si="3"/>
        <v>0.4119028779509153</v>
      </c>
      <c r="L29" s="9">
        <f t="shared" si="4"/>
        <v>0.5233378863546108</v>
      </c>
      <c r="M29" s="9">
        <f t="shared" si="5"/>
        <v>0.6347728947583062</v>
      </c>
      <c r="N29" s="9">
        <f t="shared" si="6"/>
        <v>0.7462079031620017</v>
      </c>
      <c r="O29" s="9">
        <f t="shared" si="7"/>
        <v>0.8847728947583062</v>
      </c>
      <c r="P29" s="9">
        <f>sunrise(Location!$B$4,Location!$B$5,Location!$B$6,1,A29,Location!$B$7,0)</f>
        <v>0.3004678695472199</v>
      </c>
      <c r="Q29" s="9">
        <f>sunset(Location!$B$4,Location!$B$5,Location!$B$6,1,A29,Location!$B$7,0)</f>
        <v>0.7462079031620017</v>
      </c>
      <c r="R29" s="9">
        <f t="shared" si="8"/>
        <v>0.4457400336147818</v>
      </c>
      <c r="S29" s="10">
        <f t="shared" si="9"/>
        <v>0.03714500280123182</v>
      </c>
      <c r="T29" s="9">
        <f t="shared" si="10"/>
        <v>23.554259966385217</v>
      </c>
      <c r="U29" s="10">
        <f t="shared" si="11"/>
        <v>0.04618833053210151</v>
      </c>
    </row>
    <row r="30" spans="1:21" ht="12.75">
      <c r="A30" s="5">
        <v>28</v>
      </c>
      <c r="B30" s="51" t="str">
        <f t="shared" si="14"/>
        <v>Wednesday</v>
      </c>
      <c r="C30" s="59"/>
      <c r="D30" s="92" t="s">
        <v>55</v>
      </c>
      <c r="E30" s="8" t="s">
        <v>36</v>
      </c>
      <c r="F30" s="6" t="s">
        <v>73</v>
      </c>
      <c r="G30" s="48" t="s">
        <v>74</v>
      </c>
      <c r="H30" s="9">
        <f t="shared" si="0"/>
        <v>12.023470649569528</v>
      </c>
      <c r="I30" s="9">
        <f t="shared" si="1"/>
        <v>6.1618044702989705</v>
      </c>
      <c r="J30" s="9">
        <f t="shared" si="2"/>
        <v>0.3001382910284127</v>
      </c>
      <c r="K30" s="9">
        <f t="shared" si="3"/>
        <v>0.41180447029897005</v>
      </c>
      <c r="L30" s="9">
        <f t="shared" si="4"/>
        <v>0.5234706495695274</v>
      </c>
      <c r="M30" s="9">
        <f t="shared" si="5"/>
        <v>0.6351368288400847</v>
      </c>
      <c r="N30" s="9">
        <f t="shared" si="6"/>
        <v>0.746803008110642</v>
      </c>
      <c r="O30" s="9">
        <f t="shared" si="7"/>
        <v>0.8851368288400847</v>
      </c>
      <c r="P30" s="9">
        <f>sunrise(Location!$B$4,Location!$B$5,Location!$B$6,1,A30,Location!$B$7,0)</f>
        <v>0.3001382910284127</v>
      </c>
      <c r="Q30" s="9">
        <f>sunset(Location!$B$4,Location!$B$5,Location!$B$6,1,A30,Location!$B$7,0)</f>
        <v>0.746803008110642</v>
      </c>
      <c r="R30" s="9">
        <f t="shared" si="8"/>
        <v>0.4466647170822293</v>
      </c>
      <c r="S30" s="10">
        <f t="shared" si="9"/>
        <v>0.037222059756852444</v>
      </c>
      <c r="T30" s="9">
        <f t="shared" si="10"/>
        <v>23.55333528291777</v>
      </c>
      <c r="U30" s="10">
        <f t="shared" si="11"/>
        <v>0.046111273576480885</v>
      </c>
    </row>
    <row r="31" spans="1:21" ht="12.75">
      <c r="A31" s="5">
        <v>29</v>
      </c>
      <c r="B31" s="51" t="str">
        <f>B3</f>
        <v>Thursday</v>
      </c>
      <c r="C31" s="59"/>
      <c r="D31" s="7"/>
      <c r="E31" s="8" t="s">
        <v>17</v>
      </c>
      <c r="F31" s="6" t="s">
        <v>76</v>
      </c>
      <c r="G31" s="136"/>
      <c r="H31" s="9">
        <f t="shared" si="0"/>
        <v>12.023593904201539</v>
      </c>
      <c r="I31" s="9">
        <f t="shared" si="1"/>
        <v>6.161692644532305</v>
      </c>
      <c r="J31" s="9">
        <f t="shared" si="2"/>
        <v>0.29979138486307166</v>
      </c>
      <c r="K31" s="9">
        <f t="shared" si="3"/>
        <v>0.4116926445323052</v>
      </c>
      <c r="L31" s="9">
        <f t="shared" si="4"/>
        <v>0.5235939042015387</v>
      </c>
      <c r="M31" s="9">
        <f t="shared" si="5"/>
        <v>0.6354951638707722</v>
      </c>
      <c r="N31" s="9">
        <f t="shared" si="6"/>
        <v>0.7473964235400058</v>
      </c>
      <c r="O31" s="9">
        <f t="shared" si="7"/>
        <v>0.8854951638707722</v>
      </c>
      <c r="P31" s="9">
        <f>sunrise(Location!$B$4,Location!$B$5,Location!$B$6,1,A31,Location!$B$7,0)</f>
        <v>0.29979138486307166</v>
      </c>
      <c r="Q31" s="9">
        <f>sunset(Location!$B$4,Location!$B$5,Location!$B$6,1,A31,Location!$B$7,0)</f>
        <v>0.7473964235400058</v>
      </c>
      <c r="R31" s="9">
        <f t="shared" si="8"/>
        <v>0.44760503867693413</v>
      </c>
      <c r="S31" s="10">
        <f t="shared" si="9"/>
        <v>0.03730041988974451</v>
      </c>
      <c r="T31" s="9">
        <f t="shared" si="10"/>
        <v>23.552394961323067</v>
      </c>
      <c r="U31" s="10">
        <f t="shared" si="11"/>
        <v>0.04603291344358882</v>
      </c>
    </row>
    <row r="32" spans="1:21" ht="12.75">
      <c r="A32" s="5">
        <v>30</v>
      </c>
      <c r="B32" s="51" t="str">
        <f>B4</f>
        <v>Friday</v>
      </c>
      <c r="C32" s="59"/>
      <c r="D32" s="92" t="s">
        <v>59</v>
      </c>
      <c r="E32" s="8" t="s">
        <v>21</v>
      </c>
      <c r="F32" s="6" t="s">
        <v>77</v>
      </c>
      <c r="G32" s="136"/>
      <c r="H32" s="9">
        <f t="shared" si="0"/>
        <v>12.023707614706968</v>
      </c>
      <c r="I32" s="9">
        <f t="shared" si="1"/>
        <v>6.16156749102297</v>
      </c>
      <c r="J32" s="9">
        <f t="shared" si="2"/>
        <v>0.29942736733897213</v>
      </c>
      <c r="K32" s="9">
        <f t="shared" si="3"/>
        <v>0.41156749102297</v>
      </c>
      <c r="L32" s="9">
        <f t="shared" si="4"/>
        <v>0.5237076147069679</v>
      </c>
      <c r="M32" s="9">
        <f t="shared" si="5"/>
        <v>0.6358477383909659</v>
      </c>
      <c r="N32" s="9">
        <f t="shared" si="6"/>
        <v>0.7479878620749638</v>
      </c>
      <c r="O32" s="9">
        <f t="shared" si="7"/>
        <v>0.8858477383909659</v>
      </c>
      <c r="P32" s="9">
        <f>sunrise(Location!$B$4,Location!$B$5,Location!$B$6,1,A32,Location!$B$7,0)</f>
        <v>0.29942736733897213</v>
      </c>
      <c r="Q32" s="9">
        <f>sunset(Location!$B$4,Location!$B$5,Location!$B$6,1,A32,Location!$B$7,0)</f>
        <v>0.7479878620749638</v>
      </c>
      <c r="R32" s="9">
        <f t="shared" si="8"/>
        <v>0.4485604947359917</v>
      </c>
      <c r="S32" s="10">
        <f t="shared" si="9"/>
        <v>0.03738004122799931</v>
      </c>
      <c r="T32" s="9">
        <f t="shared" si="10"/>
        <v>23.551439505264007</v>
      </c>
      <c r="U32" s="10">
        <f t="shared" si="11"/>
        <v>0.04595329210533402</v>
      </c>
    </row>
    <row r="33" spans="1:21" ht="12.75">
      <c r="A33" s="5">
        <v>31</v>
      </c>
      <c r="B33" s="51" t="str">
        <f>B5</f>
        <v>Saturday</v>
      </c>
      <c r="C33" s="59"/>
      <c r="D33" s="93" t="s">
        <v>61</v>
      </c>
      <c r="E33" s="8" t="s">
        <v>24</v>
      </c>
      <c r="F33" s="6" t="s">
        <v>78</v>
      </c>
      <c r="G33" s="136"/>
      <c r="H33" s="9">
        <f t="shared" si="0"/>
        <v>12.023811758137267</v>
      </c>
      <c r="I33" s="9">
        <f t="shared" si="1"/>
        <v>6.161429111352993</v>
      </c>
      <c r="J33" s="9">
        <f t="shared" si="2"/>
        <v>0.29904646456871753</v>
      </c>
      <c r="K33" s="9">
        <f t="shared" si="3"/>
        <v>0.41142911135299254</v>
      </c>
      <c r="L33" s="9">
        <f t="shared" si="4"/>
        <v>0.5238117581372675</v>
      </c>
      <c r="M33" s="9">
        <f t="shared" si="5"/>
        <v>0.6361944049215426</v>
      </c>
      <c r="N33" s="9">
        <f t="shared" si="6"/>
        <v>0.7485770517058176</v>
      </c>
      <c r="O33" s="9">
        <f t="shared" si="7"/>
        <v>0.8861944049215426</v>
      </c>
      <c r="P33" s="9">
        <f>sunrise(Location!$B$4,Location!$B$5,Location!$B$6,1,A33,Location!$B$7,0)</f>
        <v>0.29904646456871753</v>
      </c>
      <c r="Q33" s="9">
        <f>sunset(Location!$B$4,Location!$B$5,Location!$B$6,1,A33,Location!$B$7,0)</f>
        <v>0.7485770517058176</v>
      </c>
      <c r="R33" s="9">
        <f t="shared" si="8"/>
        <v>0.44953058713710004</v>
      </c>
      <c r="S33" s="10">
        <f t="shared" si="9"/>
        <v>0.037460882261425</v>
      </c>
      <c r="T33" s="9">
        <f t="shared" si="10"/>
        <v>23.5504694128629</v>
      </c>
      <c r="U33" s="10">
        <f t="shared" si="11"/>
        <v>0.04587245107190833</v>
      </c>
    </row>
    <row r="34" spans="1:21" ht="12.75">
      <c r="A34" s="6"/>
      <c r="B34" s="6"/>
      <c r="C34" s="6"/>
      <c r="D34" s="6"/>
      <c r="E34" s="13"/>
      <c r="F34" s="6"/>
      <c r="G34" s="12"/>
      <c r="H34" s="9"/>
      <c r="I34" s="9"/>
      <c r="J34" s="9"/>
      <c r="K34" s="9"/>
      <c r="L34" s="9"/>
      <c r="M34" s="9"/>
      <c r="N34" s="9"/>
      <c r="O34" s="9"/>
      <c r="P34" s="9"/>
      <c r="Q34" s="9"/>
      <c r="R34" s="9"/>
      <c r="S34" s="10"/>
      <c r="T34" s="9"/>
      <c r="U34" s="10"/>
    </row>
    <row r="35" spans="1:21" ht="12.75">
      <c r="A35" s="6"/>
      <c r="C35" s="6"/>
      <c r="D35" s="6"/>
      <c r="E35" s="13"/>
      <c r="F35" s="6"/>
      <c r="G35" s="12"/>
      <c r="H35" s="9"/>
      <c r="I35" s="9"/>
      <c r="J35" s="9"/>
      <c r="K35" s="9"/>
      <c r="L35" s="9"/>
      <c r="M35" s="9"/>
      <c r="N35" s="9"/>
      <c r="O35" s="9"/>
      <c r="P35" s="9"/>
      <c r="Q35" s="9"/>
      <c r="R35" s="9"/>
      <c r="S35" s="10"/>
      <c r="T35" s="9"/>
      <c r="U35" s="10"/>
    </row>
    <row r="36" spans="1:21" ht="12.75">
      <c r="A36" s="6"/>
      <c r="B36" s="6"/>
      <c r="C36" s="6"/>
      <c r="D36" s="52"/>
      <c r="E36" s="13"/>
      <c r="F36" s="6"/>
      <c r="G36" s="14"/>
      <c r="H36" s="9"/>
      <c r="I36" s="9"/>
      <c r="J36" s="9"/>
      <c r="K36" s="9"/>
      <c r="L36" s="9"/>
      <c r="M36" s="9"/>
      <c r="N36" s="9"/>
      <c r="O36" s="9"/>
      <c r="P36" s="9"/>
      <c r="Q36" s="9"/>
      <c r="R36" s="9"/>
      <c r="S36" s="10"/>
      <c r="T36" s="9"/>
      <c r="U36" s="10"/>
    </row>
    <row r="37" spans="1:21" ht="12.75">
      <c r="A37" s="6"/>
      <c r="B37" s="6"/>
      <c r="C37" s="58" t="str">
        <f>Location!C13</f>
        <v>D</v>
      </c>
      <c r="D37" s="6"/>
      <c r="E37" s="11"/>
      <c r="F37" s="6"/>
      <c r="G37" s="14"/>
      <c r="H37" s="9"/>
      <c r="I37" s="9"/>
      <c r="J37" s="9"/>
      <c r="K37" s="9"/>
      <c r="L37" s="9"/>
      <c r="M37" s="9"/>
      <c r="N37" s="9"/>
      <c r="O37" s="9"/>
      <c r="P37" s="9"/>
      <c r="Q37" s="9"/>
      <c r="R37" s="9"/>
      <c r="S37" s="10"/>
      <c r="T37" s="9"/>
      <c r="U37" s="10"/>
    </row>
    <row r="38" spans="1:21" ht="12.75">
      <c r="A38" s="6"/>
      <c r="B38" s="6"/>
      <c r="C38" s="6"/>
      <c r="D38" s="6"/>
      <c r="F38" s="6"/>
      <c r="G38" s="14"/>
      <c r="H38" s="9"/>
      <c r="I38" s="9"/>
      <c r="J38" s="9"/>
      <c r="K38" s="9"/>
      <c r="L38" s="9"/>
      <c r="M38" s="9"/>
      <c r="N38" s="9"/>
      <c r="O38" s="9"/>
      <c r="P38" s="9"/>
      <c r="Q38" s="9"/>
      <c r="R38" s="9"/>
      <c r="S38" s="10"/>
      <c r="T38" s="9"/>
      <c r="U38" s="10"/>
    </row>
    <row r="39" spans="1:21" ht="12.75">
      <c r="A39" s="6"/>
      <c r="B39" s="6"/>
      <c r="C39" s="6"/>
      <c r="D39" s="6"/>
      <c r="F39" s="6"/>
      <c r="G39" s="14"/>
      <c r="H39" s="9"/>
      <c r="I39" s="9"/>
      <c r="J39" s="9"/>
      <c r="K39" s="9"/>
      <c r="L39" s="9"/>
      <c r="M39" s="9"/>
      <c r="N39" s="9"/>
      <c r="O39" s="9"/>
      <c r="P39" s="9"/>
      <c r="Q39" s="9"/>
      <c r="R39" s="9"/>
      <c r="S39" s="10"/>
      <c r="T39" s="9"/>
      <c r="U39" s="10"/>
    </row>
    <row r="40" spans="1:21" ht="12.75">
      <c r="A40" s="6"/>
      <c r="B40" s="6"/>
      <c r="C40" s="6"/>
      <c r="F40" s="6"/>
      <c r="G40" s="14"/>
      <c r="H40" s="9"/>
      <c r="I40" s="9"/>
      <c r="J40" s="9"/>
      <c r="K40" s="9"/>
      <c r="L40" s="9"/>
      <c r="M40" s="9"/>
      <c r="N40" s="9"/>
      <c r="O40" s="9"/>
      <c r="P40" s="9"/>
      <c r="Q40" s="9"/>
      <c r="R40" s="9"/>
      <c r="S40" s="10"/>
      <c r="T40" s="9"/>
      <c r="U40" s="10"/>
    </row>
    <row r="41" ht="12.75">
      <c r="G41" s="14"/>
    </row>
    <row r="42" ht="12.75">
      <c r="G42" s="14"/>
    </row>
    <row r="43" ht="12.75">
      <c r="G43" s="2"/>
    </row>
    <row r="44" ht="12.75">
      <c r="G44" s="2"/>
    </row>
    <row r="45" ht="12.75">
      <c r="G45" s="2"/>
    </row>
    <row r="46" ht="12.75">
      <c r="G46" s="2"/>
    </row>
    <row r="47" ht="12.75">
      <c r="G47" s="2"/>
    </row>
    <row r="48" ht="12.75">
      <c r="G48" s="2"/>
    </row>
    <row r="49" ht="12.75">
      <c r="G49" s="2"/>
    </row>
    <row r="50" ht="12.75">
      <c r="G50" s="2"/>
    </row>
    <row r="51" ht="12.75">
      <c r="G51" s="2"/>
    </row>
    <row r="52" ht="12.75">
      <c r="G52" s="2"/>
    </row>
    <row r="53" ht="12.75">
      <c r="G53" s="2"/>
    </row>
    <row r="54" ht="12.75">
      <c r="G54" s="2"/>
    </row>
    <row r="55" ht="12.75">
      <c r="G55" s="2"/>
    </row>
    <row r="56" ht="12.75">
      <c r="G56" s="2"/>
    </row>
    <row r="57" ht="12.75">
      <c r="G57" s="2"/>
    </row>
    <row r="58" ht="12.75">
      <c r="G58" s="2"/>
    </row>
    <row r="59" ht="12.75">
      <c r="G59" s="2"/>
    </row>
    <row r="60" ht="12.75">
      <c r="G60" s="2"/>
    </row>
    <row r="61" ht="12.75">
      <c r="G61" s="2"/>
    </row>
    <row r="62" ht="12.75">
      <c r="G62" s="2"/>
    </row>
    <row r="63" ht="12.75">
      <c r="G63" s="2"/>
    </row>
    <row r="64" ht="12.75">
      <c r="G64" s="2"/>
    </row>
    <row r="65" ht="12.75">
      <c r="G65" s="2"/>
    </row>
    <row r="66" ht="12.75">
      <c r="G66" s="2"/>
    </row>
    <row r="67" ht="12.75">
      <c r="G67" s="2"/>
    </row>
    <row r="68" ht="12.75">
      <c r="G68" s="2"/>
    </row>
    <row r="69" ht="12.75">
      <c r="G69" s="2"/>
    </row>
    <row r="70" ht="12.75">
      <c r="G70" s="2"/>
    </row>
    <row r="71" ht="12.75">
      <c r="G71" s="2"/>
    </row>
    <row r="72" ht="12.75">
      <c r="G72" s="2"/>
    </row>
    <row r="73" ht="12.75">
      <c r="G73" s="2"/>
    </row>
    <row r="74" ht="12.75">
      <c r="G74" s="2"/>
    </row>
    <row r="75" ht="12.75">
      <c r="G75" s="2"/>
    </row>
    <row r="76" ht="12.75">
      <c r="G76" s="2"/>
    </row>
    <row r="77" ht="12.75">
      <c r="G77" s="2"/>
    </row>
    <row r="78" ht="12.75">
      <c r="G78" s="2"/>
    </row>
    <row r="79" ht="12.75">
      <c r="G79" s="2"/>
    </row>
    <row r="80" ht="12.75">
      <c r="G80" s="2"/>
    </row>
    <row r="81" ht="12.75">
      <c r="G81" s="2"/>
    </row>
    <row r="82" ht="12.75">
      <c r="G82" s="2"/>
    </row>
    <row r="83" ht="12.75">
      <c r="G83" s="2"/>
    </row>
    <row r="84" ht="12.75">
      <c r="G84" s="2"/>
    </row>
    <row r="85" ht="12.75">
      <c r="G85" s="2"/>
    </row>
    <row r="86" ht="12.75">
      <c r="G86" s="2"/>
    </row>
    <row r="87" ht="12.75">
      <c r="G87" s="2"/>
    </row>
    <row r="88" ht="12.75">
      <c r="G88" s="2"/>
    </row>
    <row r="89" ht="12.75">
      <c r="G89" s="2"/>
    </row>
    <row r="90" ht="12.75">
      <c r="G90" s="2"/>
    </row>
    <row r="91" ht="12.75">
      <c r="G91" s="2"/>
    </row>
    <row r="92" ht="12.75">
      <c r="G92" s="2"/>
    </row>
    <row r="93" ht="12.75">
      <c r="G93" s="2"/>
    </row>
    <row r="94" ht="12.75">
      <c r="G94" s="2"/>
    </row>
    <row r="95" ht="12.75">
      <c r="G95" s="2"/>
    </row>
    <row r="96" ht="12.75">
      <c r="G96" s="2"/>
    </row>
    <row r="97" ht="12.75">
      <c r="G97" s="2"/>
    </row>
    <row r="98" ht="12.75">
      <c r="G98" s="2"/>
    </row>
    <row r="99" ht="12.75">
      <c r="G99" s="2"/>
    </row>
    <row r="100" ht="12.75">
      <c r="G100" s="2"/>
    </row>
    <row r="101" ht="12.75">
      <c r="G101" s="2"/>
    </row>
    <row r="102" ht="12.75">
      <c r="G102" s="2"/>
    </row>
    <row r="103" ht="12.75">
      <c r="G103" s="2"/>
    </row>
    <row r="104" ht="12.75">
      <c r="G104" s="2"/>
    </row>
    <row r="105" ht="12.75">
      <c r="G105" s="2"/>
    </row>
    <row r="106" ht="12.75">
      <c r="G106" s="2"/>
    </row>
    <row r="107" ht="12.75">
      <c r="G107" s="2"/>
    </row>
    <row r="108" ht="12.75">
      <c r="G108" s="2"/>
    </row>
    <row r="109" ht="12.75">
      <c r="G109" s="2"/>
    </row>
    <row r="110" ht="12.75">
      <c r="G110" s="2"/>
    </row>
    <row r="111" ht="12.75">
      <c r="G111" s="2"/>
    </row>
    <row r="112" ht="12.75">
      <c r="G112" s="2"/>
    </row>
    <row r="113" ht="12.75">
      <c r="G113" s="2"/>
    </row>
    <row r="114" ht="12.75">
      <c r="G114" s="2"/>
    </row>
    <row r="115" ht="12.75">
      <c r="G115" s="2"/>
    </row>
    <row r="116" ht="12.75">
      <c r="G116" s="2"/>
    </row>
    <row r="117" ht="12.75">
      <c r="G117" s="2"/>
    </row>
    <row r="118" ht="12.75">
      <c r="G118" s="2"/>
    </row>
    <row r="119" ht="12.75">
      <c r="G119" s="2"/>
    </row>
    <row r="120" ht="12.75">
      <c r="G120" s="2"/>
    </row>
    <row r="121" ht="12.75">
      <c r="G121" s="2"/>
    </row>
    <row r="122" ht="12.75">
      <c r="G122" s="2"/>
    </row>
    <row r="123" ht="12.75">
      <c r="G123" s="2"/>
    </row>
    <row r="124" ht="12.75">
      <c r="G124" s="2"/>
    </row>
    <row r="125" ht="12.75">
      <c r="G125" s="2"/>
    </row>
    <row r="126" ht="12.75">
      <c r="G126" s="2"/>
    </row>
    <row r="127" ht="12.75">
      <c r="G127" s="2"/>
    </row>
    <row r="128" ht="12.75">
      <c r="G128" s="2"/>
    </row>
    <row r="129" ht="12.75">
      <c r="G129" s="2"/>
    </row>
    <row r="130" ht="12.75">
      <c r="G130" s="2"/>
    </row>
    <row r="131" ht="12.75">
      <c r="G131" s="2"/>
    </row>
    <row r="132" ht="12.75">
      <c r="G132" s="2"/>
    </row>
    <row r="133" ht="12.75">
      <c r="G133" s="2"/>
    </row>
    <row r="134" ht="12.75">
      <c r="G134" s="2"/>
    </row>
    <row r="135" ht="12.75">
      <c r="G135" s="2"/>
    </row>
    <row r="136" ht="12.75">
      <c r="G136" s="2"/>
    </row>
    <row r="137" ht="12.75">
      <c r="G137" s="2"/>
    </row>
    <row r="138" ht="12.75">
      <c r="G138" s="2"/>
    </row>
    <row r="139" ht="12.75">
      <c r="G139" s="2"/>
    </row>
    <row r="140" ht="12.75">
      <c r="G140" s="2"/>
    </row>
    <row r="141" ht="12.75">
      <c r="G141" s="2"/>
    </row>
    <row r="142" ht="12.75">
      <c r="G142" s="2"/>
    </row>
    <row r="143" ht="12.75">
      <c r="G143" s="2"/>
    </row>
    <row r="144" ht="12.75">
      <c r="G144" s="2"/>
    </row>
    <row r="145" ht="12.75">
      <c r="G145" s="2"/>
    </row>
    <row r="146" ht="12.75">
      <c r="G146" s="2"/>
    </row>
    <row r="147" ht="12.75">
      <c r="G147" s="2"/>
    </row>
    <row r="148" ht="12.75">
      <c r="G148" s="2"/>
    </row>
    <row r="149" ht="12.75">
      <c r="G149" s="2"/>
    </row>
    <row r="150" ht="12.75">
      <c r="G150" s="2"/>
    </row>
    <row r="151" ht="12.75">
      <c r="G151" s="2"/>
    </row>
    <row r="152" ht="12.75">
      <c r="G152" s="2"/>
    </row>
    <row r="153" ht="12.75">
      <c r="G153" s="2"/>
    </row>
    <row r="154" ht="12.75">
      <c r="G154" s="2"/>
    </row>
    <row r="155" ht="12.75">
      <c r="G155" s="2"/>
    </row>
    <row r="156" ht="12.75">
      <c r="G156" s="2"/>
    </row>
    <row r="157" ht="12.75">
      <c r="G157" s="2"/>
    </row>
    <row r="158" ht="12.75">
      <c r="G158" s="2"/>
    </row>
    <row r="159" ht="12.75">
      <c r="G159" s="2"/>
    </row>
    <row r="160" ht="12.75">
      <c r="G160" s="2"/>
    </row>
    <row r="161" ht="12.75">
      <c r="G161" s="2"/>
    </row>
    <row r="162" ht="12.75">
      <c r="G162" s="2"/>
    </row>
    <row r="163" ht="12.75">
      <c r="G163" s="2"/>
    </row>
    <row r="164" ht="12.75">
      <c r="G164" s="2"/>
    </row>
    <row r="165" ht="12.75">
      <c r="G165" s="2"/>
    </row>
    <row r="166" ht="12.75">
      <c r="G166" s="2"/>
    </row>
    <row r="167" ht="12.75">
      <c r="G167" s="2"/>
    </row>
    <row r="168" ht="12.75">
      <c r="G168" s="2"/>
    </row>
    <row r="169" ht="12.75">
      <c r="G169" s="2"/>
    </row>
    <row r="170" ht="12.75">
      <c r="G170" s="2"/>
    </row>
    <row r="171" ht="12.75">
      <c r="G171" s="2"/>
    </row>
    <row r="172" ht="12.75">
      <c r="G172" s="2"/>
    </row>
    <row r="173" ht="12.75">
      <c r="G173" s="2"/>
    </row>
    <row r="174" ht="12.75">
      <c r="G174" s="2"/>
    </row>
    <row r="175" ht="12.75">
      <c r="G175" s="2"/>
    </row>
    <row r="176" ht="12.75">
      <c r="G176" s="2"/>
    </row>
    <row r="177" ht="12.75">
      <c r="G177" s="2"/>
    </row>
    <row r="178" ht="12.75">
      <c r="G178" s="2"/>
    </row>
    <row r="179" ht="12.75">
      <c r="G179" s="2"/>
    </row>
    <row r="180" ht="12.75">
      <c r="G180" s="2"/>
    </row>
    <row r="181" ht="12.75">
      <c r="G181" s="2"/>
    </row>
    <row r="182" ht="12.75">
      <c r="G182" s="2"/>
    </row>
    <row r="183" ht="12.75">
      <c r="G183" s="2"/>
    </row>
    <row r="184" ht="12.75">
      <c r="G184" s="2"/>
    </row>
    <row r="185" ht="12.75">
      <c r="G185" s="2"/>
    </row>
    <row r="186" ht="12.75">
      <c r="G186" s="2"/>
    </row>
    <row r="187" ht="12.75">
      <c r="G187" s="2"/>
    </row>
    <row r="188" ht="12.75">
      <c r="G188" s="2"/>
    </row>
    <row r="189" ht="12.75">
      <c r="G189" s="2"/>
    </row>
    <row r="190" ht="12.75">
      <c r="G190" s="2"/>
    </row>
    <row r="191" ht="12.75">
      <c r="G191" s="2"/>
    </row>
    <row r="192" ht="12.75">
      <c r="G192" s="2"/>
    </row>
    <row r="193" ht="12.75">
      <c r="G193" s="2"/>
    </row>
    <row r="194" ht="12.75">
      <c r="G194" s="2"/>
    </row>
    <row r="195" ht="12.75">
      <c r="G195" s="2"/>
    </row>
  </sheetData>
  <sheetProtection/>
  <conditionalFormatting sqref="E3:E33">
    <cfRule type="cellIs" priority="1" dxfId="1" operator="equal" stopIfTrue="1">
      <formula>$C$37</formula>
    </cfRule>
  </conditionalFormatting>
  <printOptions gridLines="1" horizontalCentered="1" verticalCentered="1"/>
  <pageMargins left="0.4" right="0.27" top="1.01" bottom="1.75" header="0.5" footer="0.5"/>
  <pageSetup fitToHeight="1" fitToWidth="1" horizontalDpi="600" verticalDpi="600" orientation="landscape" pageOrder="overThenDown" scale="74" r:id="rId2"/>
  <drawing r:id="rId1"/>
</worksheet>
</file>

<file path=xl/worksheets/sheet10.xml><?xml version="1.0" encoding="utf-8"?>
<worksheet xmlns="http://schemas.openxmlformats.org/spreadsheetml/2006/main" xmlns:r="http://schemas.openxmlformats.org/officeDocument/2006/relationships">
  <sheetPr codeName="Sheet12">
    <pageSetUpPr fitToPage="1"/>
  </sheetPr>
  <dimension ref="A1:U37"/>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173</v>
      </c>
      <c r="B1" s="118"/>
      <c r="C1" s="118"/>
      <c r="D1" s="123"/>
      <c r="E1" s="119" t="str">
        <f>ROMAN(Location!$B$6)</f>
        <v>MMIX</v>
      </c>
      <c r="F1" s="118"/>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27" t="s">
        <v>3</v>
      </c>
      <c r="I2" s="27" t="s">
        <v>4</v>
      </c>
      <c r="J2" s="27" t="s">
        <v>5</v>
      </c>
      <c r="K2" s="27" t="s">
        <v>6</v>
      </c>
      <c r="L2" s="27" t="s">
        <v>7</v>
      </c>
      <c r="M2" s="27" t="s">
        <v>8</v>
      </c>
      <c r="N2" s="27" t="s">
        <v>9</v>
      </c>
      <c r="O2" s="28" t="s">
        <v>10</v>
      </c>
      <c r="P2" s="27" t="s">
        <v>11</v>
      </c>
      <c r="Q2" s="27" t="s">
        <v>12</v>
      </c>
      <c r="R2" s="27" t="s">
        <v>13</v>
      </c>
      <c r="S2" s="27" t="s">
        <v>132</v>
      </c>
      <c r="T2" s="27" t="s">
        <v>15</v>
      </c>
      <c r="U2" s="27" t="s">
        <v>133</v>
      </c>
    </row>
    <row r="3" spans="1:21" ht="12.75">
      <c r="A3" s="5">
        <v>1</v>
      </c>
      <c r="B3" s="6" t="str">
        <f>September!B26</f>
        <v>Thursday</v>
      </c>
      <c r="C3" s="59"/>
      <c r="D3" s="92" t="s">
        <v>75</v>
      </c>
      <c r="E3" s="8" t="s">
        <v>17</v>
      </c>
      <c r="F3" s="6" t="s">
        <v>18</v>
      </c>
      <c r="G3" s="136"/>
      <c r="H3" s="9">
        <f aca="true" t="shared" si="0" ref="H3:H33">(T3/2)+Q3-"12:00:00"</f>
        <v>12.048557204251797</v>
      </c>
      <c r="I3" s="9">
        <f aca="true" t="shared" si="1" ref="I3:I33">H3+((J3-H3)/2)</f>
        <v>6.174974009235218</v>
      </c>
      <c r="J3" s="9">
        <f aca="true" t="shared" si="2" ref="J3:J33">P3</f>
        <v>0.3013908142186382</v>
      </c>
      <c r="K3" s="9">
        <f aca="true" t="shared" si="3" ref="K3:K33">J3+((L3-J3)/2)</f>
        <v>0.4249740092352172</v>
      </c>
      <c r="L3" s="9">
        <f aca="true" t="shared" si="4" ref="L3:L33">(R3/2)+J3</f>
        <v>0.5485572042517962</v>
      </c>
      <c r="M3" s="9">
        <f aca="true" t="shared" si="5" ref="M3:M33">((N3-L3)/2)+L3</f>
        <v>0.6721403992683752</v>
      </c>
      <c r="N3" s="9">
        <f aca="true" t="shared" si="6" ref="N3:N33">Q3</f>
        <v>0.7957235942849542</v>
      </c>
      <c r="O3" s="9">
        <f aca="true" t="shared" si="7" ref="O3:O33">3*U3+N3</f>
        <v>0.9221403992683752</v>
      </c>
      <c r="P3" s="9">
        <f>sunrise(Location!$B$4,Location!$B$5,Location!$B$6,10,A3,Location!$B$7,IF(Location!$B$8="No",0,1))</f>
        <v>0.3013908142186382</v>
      </c>
      <c r="Q3" s="9">
        <f>sunset(Location!$B$4,Location!$B$5,Location!$B$6,10,A3,Location!$B$7,IF(Location!$B$8="No",0,1))</f>
        <v>0.7957235942849542</v>
      </c>
      <c r="R3" s="9">
        <f aca="true" t="shared" si="8" ref="R3:R33">Q3-P3</f>
        <v>0.494332780066316</v>
      </c>
      <c r="S3" s="10">
        <f aca="true" t="shared" si="9" ref="S3:S33">R3/12</f>
        <v>0.04119439833885966</v>
      </c>
      <c r="T3" s="9">
        <f aca="true" t="shared" si="10" ref="T3:T33">(24-(Q3-P3))</f>
        <v>23.505667219933684</v>
      </c>
      <c r="U3" s="10">
        <f aca="true" t="shared" si="11" ref="U3:U33">"1:00:00"-S3+"1:00:00"</f>
        <v>0.042138934994473666</v>
      </c>
    </row>
    <row r="4" spans="1:21" ht="12.75">
      <c r="A4" s="5">
        <v>2</v>
      </c>
      <c r="B4" s="6" t="str">
        <f>September!B27</f>
        <v>Friday</v>
      </c>
      <c r="C4" s="59"/>
      <c r="D4" s="7"/>
      <c r="E4" s="8" t="s">
        <v>21</v>
      </c>
      <c r="F4" s="6" t="s">
        <v>90</v>
      </c>
      <c r="G4" s="136"/>
      <c r="H4" s="9">
        <f t="shared" si="0"/>
        <v>12.04833608468475</v>
      </c>
      <c r="I4" s="9">
        <f t="shared" si="1"/>
        <v>6.175058147592104</v>
      </c>
      <c r="J4" s="9">
        <f t="shared" si="2"/>
        <v>0.30178021049945725</v>
      </c>
      <c r="K4" s="9">
        <f t="shared" si="3"/>
        <v>0.42505814759210353</v>
      </c>
      <c r="L4" s="9">
        <f t="shared" si="4"/>
        <v>0.5483360846847498</v>
      </c>
      <c r="M4" s="9">
        <f t="shared" si="5"/>
        <v>0.671614021777396</v>
      </c>
      <c r="N4" s="9">
        <f t="shared" si="6"/>
        <v>0.7948919588700423</v>
      </c>
      <c r="O4" s="9">
        <f t="shared" si="7"/>
        <v>0.921614021777396</v>
      </c>
      <c r="P4" s="9">
        <f>sunrise(Location!$B$4,Location!$B$5,Location!$B$6,10,A4,Location!$B$7,IF(Location!$B$8="No",0,1))</f>
        <v>0.30178021049945725</v>
      </c>
      <c r="Q4" s="9">
        <f>sunset(Location!$B$4,Location!$B$5,Location!$B$6,10,A4,Location!$B$7,IF(Location!$B$8="No",0,1))</f>
        <v>0.7948919588700423</v>
      </c>
      <c r="R4" s="9">
        <f t="shared" si="8"/>
        <v>0.493111748370585</v>
      </c>
      <c r="S4" s="10">
        <f t="shared" si="9"/>
        <v>0.04109264569754875</v>
      </c>
      <c r="T4" s="9">
        <f t="shared" si="10"/>
        <v>23.506888251629416</v>
      </c>
      <c r="U4" s="10">
        <f t="shared" si="11"/>
        <v>0.04224068763578458</v>
      </c>
    </row>
    <row r="5" spans="1:21" ht="12.75">
      <c r="A5" s="5">
        <v>3</v>
      </c>
      <c r="B5" s="6" t="str">
        <f>September!B28</f>
        <v>Saturday</v>
      </c>
      <c r="C5" s="59"/>
      <c r="D5" s="92" t="s">
        <v>20</v>
      </c>
      <c r="E5" s="8" t="s">
        <v>24</v>
      </c>
      <c r="F5" s="6" t="s">
        <v>92</v>
      </c>
      <c r="G5" s="140"/>
      <c r="H5" s="9">
        <f t="shared" si="0"/>
        <v>12.048118613850885</v>
      </c>
      <c r="I5" s="9">
        <f t="shared" si="1"/>
        <v>6.1751455673751785</v>
      </c>
      <c r="J5" s="9">
        <f t="shared" si="2"/>
        <v>0.30217252089947116</v>
      </c>
      <c r="K5" s="9">
        <f t="shared" si="3"/>
        <v>0.4251455673751783</v>
      </c>
      <c r="L5" s="9">
        <f t="shared" si="4"/>
        <v>0.5481186138508853</v>
      </c>
      <c r="M5" s="9">
        <f t="shared" si="5"/>
        <v>0.6710916603265924</v>
      </c>
      <c r="N5" s="9">
        <f t="shared" si="6"/>
        <v>0.7940647068022996</v>
      </c>
      <c r="O5" s="9">
        <f t="shared" si="7"/>
        <v>0.9210916603265924</v>
      </c>
      <c r="P5" s="9">
        <f>sunrise(Location!$B$4,Location!$B$5,Location!$B$6,10,A5,Location!$B$7,IF(Location!$B$8="No",0,1))</f>
        <v>0.30217252089947116</v>
      </c>
      <c r="Q5" s="9">
        <f>sunset(Location!$B$4,Location!$B$5,Location!$B$6,10,A5,Location!$B$7,IF(Location!$B$8="No",0,1))</f>
        <v>0.7940647068022996</v>
      </c>
      <c r="R5" s="9">
        <f t="shared" si="8"/>
        <v>0.4918921859028284</v>
      </c>
      <c r="S5" s="10">
        <f t="shared" si="9"/>
        <v>0.040991015491902365</v>
      </c>
      <c r="T5" s="9">
        <f t="shared" si="10"/>
        <v>23.508107814097173</v>
      </c>
      <c r="U5" s="10">
        <f t="shared" si="11"/>
        <v>0.042342317841430964</v>
      </c>
    </row>
    <row r="6" spans="1:21" ht="12.75">
      <c r="A6" s="5">
        <v>4</v>
      </c>
      <c r="B6" s="6" t="str">
        <f>September!B29</f>
        <v>Sunday</v>
      </c>
      <c r="C6" s="59"/>
      <c r="D6" s="7"/>
      <c r="E6" s="8" t="s">
        <v>26</v>
      </c>
      <c r="F6" s="6" t="s">
        <v>93</v>
      </c>
      <c r="G6" s="138" t="s">
        <v>316</v>
      </c>
      <c r="H6" s="9">
        <f t="shared" si="0"/>
        <v>12.047905029962312</v>
      </c>
      <c r="I6" s="9">
        <f t="shared" si="1"/>
        <v>6.175236459789576</v>
      </c>
      <c r="J6" s="9">
        <f t="shared" si="2"/>
        <v>0.30256788961684</v>
      </c>
      <c r="K6" s="9">
        <f t="shared" si="3"/>
        <v>0.42523645978957636</v>
      </c>
      <c r="L6" s="9">
        <f t="shared" si="4"/>
        <v>0.5479050299623127</v>
      </c>
      <c r="M6" s="9">
        <f t="shared" si="5"/>
        <v>0.6705736001350491</v>
      </c>
      <c r="N6" s="9">
        <f t="shared" si="6"/>
        <v>0.7932421703077853</v>
      </c>
      <c r="O6" s="9">
        <f t="shared" si="7"/>
        <v>0.920573600135049</v>
      </c>
      <c r="P6" s="9">
        <f>sunrise(Location!$B$4,Location!$B$5,Location!$B$6,10,A6,Location!$B$7,IF(Location!$B$8="No",0,1))</f>
        <v>0.30256788961684</v>
      </c>
      <c r="Q6" s="9">
        <f>sunset(Location!$B$4,Location!$B$5,Location!$B$6,10,A6,Location!$B$7,IF(Location!$B$8="No",0,1))</f>
        <v>0.7932421703077853</v>
      </c>
      <c r="R6" s="9">
        <f t="shared" si="8"/>
        <v>0.4906742806909453</v>
      </c>
      <c r="S6" s="10">
        <f t="shared" si="9"/>
        <v>0.04088952339091211</v>
      </c>
      <c r="T6" s="9">
        <f t="shared" si="10"/>
        <v>23.509325719309054</v>
      </c>
      <c r="U6" s="10">
        <f t="shared" si="11"/>
        <v>0.042443809942421216</v>
      </c>
    </row>
    <row r="7" spans="1:21" ht="12.75">
      <c r="A7" s="5">
        <v>5</v>
      </c>
      <c r="B7" s="6" t="str">
        <f>September!B9</f>
        <v>Monday</v>
      </c>
      <c r="C7" s="59"/>
      <c r="D7" s="92" t="s">
        <v>23</v>
      </c>
      <c r="E7" s="8" t="s">
        <v>29</v>
      </c>
      <c r="F7" s="6" t="s">
        <v>94</v>
      </c>
      <c r="G7" s="152" t="s">
        <v>332</v>
      </c>
      <c r="H7" s="9">
        <f t="shared" si="0"/>
        <v>12.047695570763926</v>
      </c>
      <c r="I7" s="9">
        <f t="shared" si="1"/>
        <v>6.175331014610807</v>
      </c>
      <c r="J7" s="9">
        <f t="shared" si="2"/>
        <v>0.3029664584576882</v>
      </c>
      <c r="K7" s="9">
        <f t="shared" si="3"/>
        <v>0.42533101461080686</v>
      </c>
      <c r="L7" s="9">
        <f t="shared" si="4"/>
        <v>0.5476955707639255</v>
      </c>
      <c r="M7" s="9">
        <f t="shared" si="5"/>
        <v>0.6700601269170442</v>
      </c>
      <c r="N7" s="9">
        <f t="shared" si="6"/>
        <v>0.7924246830701629</v>
      </c>
      <c r="O7" s="9">
        <f t="shared" si="7"/>
        <v>0.9200601269170442</v>
      </c>
      <c r="P7" s="9">
        <f>sunrise(Location!$B$4,Location!$B$5,Location!$B$6,10,A7,Location!$B$7,IF(Location!$B$8="No",0,1))</f>
        <v>0.3029664584576882</v>
      </c>
      <c r="Q7" s="9">
        <f>sunset(Location!$B$4,Location!$B$5,Location!$B$6,10,A7,Location!$B$7,IF(Location!$B$8="No",0,1))</f>
        <v>0.7924246830701629</v>
      </c>
      <c r="R7" s="9">
        <f t="shared" si="8"/>
        <v>0.4894582246124747</v>
      </c>
      <c r="S7" s="10">
        <f t="shared" si="9"/>
        <v>0.04078818538437289</v>
      </c>
      <c r="T7" s="9">
        <f t="shared" si="10"/>
        <v>23.510541775387527</v>
      </c>
      <c r="U7" s="10">
        <f t="shared" si="11"/>
        <v>0.042545147948960436</v>
      </c>
    </row>
    <row r="8" spans="1:21" ht="12.75">
      <c r="A8" s="5">
        <v>6</v>
      </c>
      <c r="B8" s="6" t="str">
        <f>September!B31</f>
        <v>Tuesday</v>
      </c>
      <c r="C8" s="59"/>
      <c r="D8" s="92" t="s">
        <v>28</v>
      </c>
      <c r="E8" s="8" t="s">
        <v>32</v>
      </c>
      <c r="F8" s="6" t="s">
        <v>27</v>
      </c>
      <c r="G8" s="136"/>
      <c r="H8" s="9">
        <f t="shared" si="0"/>
        <v>12.047490473334644</v>
      </c>
      <c r="I8" s="9">
        <f t="shared" si="1"/>
        <v>6.175429419909385</v>
      </c>
      <c r="J8" s="9">
        <f t="shared" si="2"/>
        <v>0.3033683664841258</v>
      </c>
      <c r="K8" s="9">
        <f t="shared" si="3"/>
        <v>0.42542941990938515</v>
      </c>
      <c r="L8" s="9">
        <f t="shared" si="4"/>
        <v>0.5474904733346445</v>
      </c>
      <c r="M8" s="9">
        <f t="shared" si="5"/>
        <v>0.6695515267599039</v>
      </c>
      <c r="N8" s="9">
        <f t="shared" si="6"/>
        <v>0.7916125801851632</v>
      </c>
      <c r="O8" s="9">
        <f t="shared" si="7"/>
        <v>0.9195515267599038</v>
      </c>
      <c r="P8" s="9">
        <f>sunrise(Location!$B$4,Location!$B$5,Location!$B$6,10,A8,Location!$B$7,IF(Location!$B$8="No",0,1))</f>
        <v>0.3033683664841258</v>
      </c>
      <c r="Q8" s="9">
        <f>sunset(Location!$B$4,Location!$B$5,Location!$B$6,10,A8,Location!$B$7,IF(Location!$B$8="No",0,1))</f>
        <v>0.7916125801851632</v>
      </c>
      <c r="R8" s="9">
        <f t="shared" si="8"/>
        <v>0.48824421370103743</v>
      </c>
      <c r="S8" s="10">
        <f t="shared" si="9"/>
        <v>0.04068701780841979</v>
      </c>
      <c r="T8" s="9">
        <f t="shared" si="10"/>
        <v>23.511755786298963</v>
      </c>
      <c r="U8" s="10">
        <f t="shared" si="11"/>
        <v>0.04264631552491354</v>
      </c>
    </row>
    <row r="9" spans="1:21" ht="12.75">
      <c r="A9" s="5">
        <v>7</v>
      </c>
      <c r="B9" s="6" t="str">
        <f>September!B32</f>
        <v>Wednesday</v>
      </c>
      <c r="C9" s="59"/>
      <c r="D9" s="7"/>
      <c r="E9" s="8" t="s">
        <v>36</v>
      </c>
      <c r="F9" s="6" t="s">
        <v>30</v>
      </c>
      <c r="G9" s="136"/>
      <c r="H9" s="9">
        <f t="shared" si="0"/>
        <v>12.04728997388127</v>
      </c>
      <c r="I9" s="9">
        <f t="shared" si="1"/>
        <v>6.175531861768465</v>
      </c>
      <c r="J9" s="9">
        <f t="shared" si="2"/>
        <v>0.30377374965566034</v>
      </c>
      <c r="K9" s="9">
        <f t="shared" si="3"/>
        <v>0.42553186176846536</v>
      </c>
      <c r="L9" s="9">
        <f t="shared" si="4"/>
        <v>0.5472899738812703</v>
      </c>
      <c r="M9" s="9">
        <f t="shared" si="5"/>
        <v>0.6690480859940753</v>
      </c>
      <c r="N9" s="9">
        <f t="shared" si="6"/>
        <v>0.7908061981068804</v>
      </c>
      <c r="O9" s="9">
        <f t="shared" si="7"/>
        <v>0.9190480859940753</v>
      </c>
      <c r="P9" s="9">
        <f>sunrise(Location!$B$4,Location!$B$5,Location!$B$6,10,A9,Location!$B$7,IF(Location!$B$8="No",0,1))</f>
        <v>0.30377374965566034</v>
      </c>
      <c r="Q9" s="9">
        <f>sunset(Location!$B$4,Location!$B$5,Location!$B$6,10,A9,Location!$B$7,IF(Location!$B$8="No",0,1))</f>
        <v>0.7908061981068804</v>
      </c>
      <c r="R9" s="9">
        <f t="shared" si="8"/>
        <v>0.48703244845122</v>
      </c>
      <c r="S9" s="10">
        <f t="shared" si="9"/>
        <v>0.040586037370935</v>
      </c>
      <c r="T9" s="9">
        <f t="shared" si="10"/>
        <v>23.51296755154878</v>
      </c>
      <c r="U9" s="10">
        <f t="shared" si="11"/>
        <v>0.042747295962398325</v>
      </c>
    </row>
    <row r="10" spans="1:21" ht="12.75">
      <c r="A10" s="5">
        <v>8</v>
      </c>
      <c r="B10" s="6" t="str">
        <f aca="true" t="shared" si="12" ref="B10:B16">B3</f>
        <v>Thursday</v>
      </c>
      <c r="C10" s="59"/>
      <c r="D10" s="92" t="s">
        <v>35</v>
      </c>
      <c r="E10" s="8" t="s">
        <v>17</v>
      </c>
      <c r="F10" s="6" t="s">
        <v>95</v>
      </c>
      <c r="G10" s="136"/>
      <c r="H10" s="9">
        <f t="shared" si="0"/>
        <v>12.047094307517089</v>
      </c>
      <c r="I10" s="9">
        <f t="shared" si="1"/>
        <v>6.175638523986487</v>
      </c>
      <c r="J10" s="9">
        <f t="shared" si="2"/>
        <v>0.30418274045588567</v>
      </c>
      <c r="K10" s="9">
        <f t="shared" si="3"/>
        <v>0.42563852398648755</v>
      </c>
      <c r="L10" s="9">
        <f t="shared" si="4"/>
        <v>0.5470943075170894</v>
      </c>
      <c r="M10" s="9">
        <f t="shared" si="5"/>
        <v>0.6685500910476914</v>
      </c>
      <c r="N10" s="9">
        <f t="shared" si="6"/>
        <v>0.7900058745782932</v>
      </c>
      <c r="O10" s="9">
        <f t="shared" si="7"/>
        <v>0.9185500910476914</v>
      </c>
      <c r="P10" s="9">
        <f>sunrise(Location!$B$4,Location!$B$5,Location!$B$6,10,A10,Location!$B$7,IF(Location!$B$8="No",0,1))</f>
        <v>0.30418274045588567</v>
      </c>
      <c r="Q10" s="9">
        <f>sunset(Location!$B$4,Location!$B$5,Location!$B$6,10,A10,Location!$B$7,IF(Location!$B$8="No",0,1))</f>
        <v>0.7900058745782932</v>
      </c>
      <c r="R10" s="9">
        <f t="shared" si="8"/>
        <v>0.4858231341224075</v>
      </c>
      <c r="S10" s="10">
        <f t="shared" si="9"/>
        <v>0.04048526117686729</v>
      </c>
      <c r="T10" s="9">
        <f t="shared" si="10"/>
        <v>23.51417686587759</v>
      </c>
      <c r="U10" s="10">
        <f t="shared" si="11"/>
        <v>0.042848072156466036</v>
      </c>
    </row>
    <row r="11" spans="1:21" ht="12.75">
      <c r="A11" s="5">
        <v>9</v>
      </c>
      <c r="B11" s="6" t="str">
        <f t="shared" si="12"/>
        <v>Friday</v>
      </c>
      <c r="C11" s="59"/>
      <c r="D11" s="92" t="s">
        <v>38</v>
      </c>
      <c r="E11" s="8" t="s">
        <v>21</v>
      </c>
      <c r="F11" s="6" t="s">
        <v>96</v>
      </c>
      <c r="G11" s="136"/>
      <c r="H11" s="9">
        <f t="shared" si="0"/>
        <v>12.046903708032474</v>
      </c>
      <c r="I11" s="9">
        <f t="shared" si="1"/>
        <v>6.175749587772455</v>
      </c>
      <c r="J11" s="9">
        <f t="shared" si="2"/>
        <v>0.3045954675124362</v>
      </c>
      <c r="K11" s="9">
        <f t="shared" si="3"/>
        <v>0.4257495877724553</v>
      </c>
      <c r="L11" s="9">
        <f t="shared" si="4"/>
        <v>0.5469037080324743</v>
      </c>
      <c r="M11" s="9">
        <f t="shared" si="5"/>
        <v>0.6680578282924934</v>
      </c>
      <c r="N11" s="9">
        <f t="shared" si="6"/>
        <v>0.7892119485525125</v>
      </c>
      <c r="O11" s="9">
        <f t="shared" si="7"/>
        <v>0.9180578282924934</v>
      </c>
      <c r="P11" s="9">
        <f>sunrise(Location!$B$4,Location!$B$5,Location!$B$6,10,A11,Location!$B$7,IF(Location!$B$8="No",0,1))</f>
        <v>0.3045954675124362</v>
      </c>
      <c r="Q11" s="9">
        <f>sunset(Location!$B$4,Location!$B$5,Location!$B$6,10,A11,Location!$B$7,IF(Location!$B$8="No",0,1))</f>
        <v>0.7892119485525125</v>
      </c>
      <c r="R11" s="9">
        <f t="shared" si="8"/>
        <v>0.4846164810400763</v>
      </c>
      <c r="S11" s="10">
        <f t="shared" si="9"/>
        <v>0.040384706753339696</v>
      </c>
      <c r="T11" s="9">
        <f t="shared" si="10"/>
        <v>23.515383518959922</v>
      </c>
      <c r="U11" s="10">
        <f t="shared" si="11"/>
        <v>0.04294862657999363</v>
      </c>
    </row>
    <row r="12" spans="1:21" ht="12.75">
      <c r="A12" s="5">
        <v>10</v>
      </c>
      <c r="B12" s="6" t="str">
        <f t="shared" si="12"/>
        <v>Saturday</v>
      </c>
      <c r="C12" s="59"/>
      <c r="D12" s="7"/>
      <c r="E12" s="8" t="s">
        <v>24</v>
      </c>
      <c r="F12" s="6" t="s">
        <v>97</v>
      </c>
      <c r="G12" s="140"/>
      <c r="H12" s="9">
        <f t="shared" si="0"/>
        <v>12.046718407650896</v>
      </c>
      <c r="I12" s="9">
        <f t="shared" si="1"/>
        <v>6.175865231427671</v>
      </c>
      <c r="J12" s="9">
        <f t="shared" si="2"/>
        <v>0.3050120552044452</v>
      </c>
      <c r="K12" s="9">
        <f t="shared" si="3"/>
        <v>0.42586523142767035</v>
      </c>
      <c r="L12" s="9">
        <f t="shared" si="4"/>
        <v>0.5467184076508955</v>
      </c>
      <c r="M12" s="9">
        <f t="shared" si="5"/>
        <v>0.6675715838741207</v>
      </c>
      <c r="N12" s="9">
        <f t="shared" si="6"/>
        <v>0.7884247600973459</v>
      </c>
      <c r="O12" s="9">
        <f t="shared" si="7"/>
        <v>0.9175715838741206</v>
      </c>
      <c r="P12" s="9">
        <f>sunrise(Location!$B$4,Location!$B$5,Location!$B$6,10,A12,Location!$B$7,IF(Location!$B$8="No",0,1))</f>
        <v>0.3050120552044452</v>
      </c>
      <c r="Q12" s="9">
        <f>sunset(Location!$B$4,Location!$B$5,Location!$B$6,10,A12,Location!$B$7,IF(Location!$B$8="No",0,1))</f>
        <v>0.7884247600973459</v>
      </c>
      <c r="R12" s="9">
        <f t="shared" si="8"/>
        <v>0.48341270489290067</v>
      </c>
      <c r="S12" s="10">
        <f t="shared" si="9"/>
        <v>0.04028439207440839</v>
      </c>
      <c r="T12" s="9">
        <f t="shared" si="10"/>
        <v>23.5165872951071</v>
      </c>
      <c r="U12" s="10">
        <f t="shared" si="11"/>
        <v>0.04304894125892494</v>
      </c>
    </row>
    <row r="13" spans="1:21" ht="12.75">
      <c r="A13" s="5">
        <v>11</v>
      </c>
      <c r="B13" s="6" t="str">
        <f t="shared" si="12"/>
        <v>Sunday</v>
      </c>
      <c r="C13" s="59"/>
      <c r="D13" s="92" t="s">
        <v>40</v>
      </c>
      <c r="E13" s="8" t="s">
        <v>26</v>
      </c>
      <c r="F13" s="6" t="s">
        <v>98</v>
      </c>
      <c r="G13" s="138" t="s">
        <v>317</v>
      </c>
      <c r="H13" s="9">
        <f t="shared" si="0"/>
        <v>12.046538636776228</v>
      </c>
      <c r="I13" s="9">
        <f t="shared" si="1"/>
        <v>6.175985630019312</v>
      </c>
      <c r="J13" s="9">
        <f t="shared" si="2"/>
        <v>0.30543262326239595</v>
      </c>
      <c r="K13" s="9">
        <f t="shared" si="3"/>
        <v>0.4259856300193115</v>
      </c>
      <c r="L13" s="9">
        <f t="shared" si="4"/>
        <v>0.546538636776227</v>
      </c>
      <c r="M13" s="9">
        <f t="shared" si="5"/>
        <v>0.6670916435331427</v>
      </c>
      <c r="N13" s="9">
        <f t="shared" si="6"/>
        <v>0.7876446502900583</v>
      </c>
      <c r="O13" s="9">
        <f t="shared" si="7"/>
        <v>0.9170916435331427</v>
      </c>
      <c r="P13" s="9">
        <f>sunrise(Location!$B$4,Location!$B$5,Location!$B$6,10,A13,Location!$B$7,IF(Location!$B$8="No",0,1))</f>
        <v>0.30543262326239595</v>
      </c>
      <c r="Q13" s="9">
        <f>sunset(Location!$B$4,Location!$B$5,Location!$B$6,10,A13,Location!$B$7,IF(Location!$B$8="No",0,1))</f>
        <v>0.7876446502900583</v>
      </c>
      <c r="R13" s="9">
        <f t="shared" si="8"/>
        <v>0.4822120270276623</v>
      </c>
      <c r="S13" s="10">
        <f t="shared" si="9"/>
        <v>0.040184335585638525</v>
      </c>
      <c r="T13" s="9">
        <f t="shared" si="10"/>
        <v>23.51778797297234</v>
      </c>
      <c r="U13" s="10">
        <f t="shared" si="11"/>
        <v>0.0431489977476948</v>
      </c>
    </row>
    <row r="14" spans="1:21" ht="12.75">
      <c r="A14" s="5">
        <v>12</v>
      </c>
      <c r="B14" s="6" t="str">
        <f t="shared" si="12"/>
        <v>Monday</v>
      </c>
      <c r="C14" s="59"/>
      <c r="D14" s="92" t="s">
        <v>42</v>
      </c>
      <c r="E14" s="8" t="s">
        <v>29</v>
      </c>
      <c r="F14" s="6" t="s">
        <v>99</v>
      </c>
      <c r="G14" s="136"/>
      <c r="H14" s="9">
        <f t="shared" si="0"/>
        <v>12.046364623726367</v>
      </c>
      <c r="I14" s="9">
        <f t="shared" si="1"/>
        <v>6.1761109550412705</v>
      </c>
      <c r="J14" s="9">
        <f t="shared" si="2"/>
        <v>0.3058572863561742</v>
      </c>
      <c r="K14" s="9">
        <f t="shared" si="3"/>
        <v>0.4261109550412713</v>
      </c>
      <c r="L14" s="9">
        <f t="shared" si="4"/>
        <v>0.5463646237263683</v>
      </c>
      <c r="M14" s="9">
        <f t="shared" si="5"/>
        <v>0.6666182924114654</v>
      </c>
      <c r="N14" s="9">
        <f t="shared" si="6"/>
        <v>0.7868719610965624</v>
      </c>
      <c r="O14" s="9">
        <f t="shared" si="7"/>
        <v>0.9166182924114654</v>
      </c>
      <c r="P14" s="9">
        <f>sunrise(Location!$B$4,Location!$B$5,Location!$B$6,10,A14,Location!$B$7,IF(Location!$B$8="No",0,1))</f>
        <v>0.3058572863561742</v>
      </c>
      <c r="Q14" s="9">
        <f>sunset(Location!$B$4,Location!$B$5,Location!$B$6,10,A14,Location!$B$7,IF(Location!$B$8="No",0,1))</f>
        <v>0.7868719610965624</v>
      </c>
      <c r="R14" s="9">
        <f t="shared" si="8"/>
        <v>0.4810146747403882</v>
      </c>
      <c r="S14" s="10">
        <f t="shared" si="9"/>
        <v>0.04008455622836569</v>
      </c>
      <c r="T14" s="9">
        <f t="shared" si="10"/>
        <v>23.51898532525961</v>
      </c>
      <c r="U14" s="10">
        <f t="shared" si="11"/>
        <v>0.04324877710496764</v>
      </c>
    </row>
    <row r="15" spans="1:21" ht="12.75">
      <c r="A15" s="5">
        <v>13</v>
      </c>
      <c r="B15" s="6" t="str">
        <f t="shared" si="12"/>
        <v>Tuesday</v>
      </c>
      <c r="C15" s="59"/>
      <c r="D15" s="7"/>
      <c r="E15" s="8" t="s">
        <v>32</v>
      </c>
      <c r="F15" s="6" t="s">
        <v>101</v>
      </c>
      <c r="G15" s="136"/>
      <c r="H15" s="9">
        <f t="shared" si="0"/>
        <v>12.04619659445782</v>
      </c>
      <c r="I15" s="9">
        <f t="shared" si="1"/>
        <v>6.176241374067255</v>
      </c>
      <c r="J15" s="9">
        <f t="shared" si="2"/>
        <v>0.30628615367669004</v>
      </c>
      <c r="K15" s="9">
        <f t="shared" si="3"/>
        <v>0.42624137406725493</v>
      </c>
      <c r="L15" s="9">
        <f t="shared" si="4"/>
        <v>0.5461965944578199</v>
      </c>
      <c r="M15" s="9">
        <f t="shared" si="5"/>
        <v>0.6661518148483847</v>
      </c>
      <c r="N15" s="9">
        <f t="shared" si="6"/>
        <v>0.7861070352389496</v>
      </c>
      <c r="O15" s="9">
        <f t="shared" si="7"/>
        <v>0.9161518148483847</v>
      </c>
      <c r="P15" s="9">
        <f>sunrise(Location!$B$4,Location!$B$5,Location!$B$6,10,A15,Location!$B$7,IF(Location!$B$8="No",0,1))</f>
        <v>0.30628615367669004</v>
      </c>
      <c r="Q15" s="9">
        <f>sunset(Location!$B$4,Location!$B$5,Location!$B$6,10,A15,Location!$B$7,IF(Location!$B$8="No",0,1))</f>
        <v>0.7861070352389496</v>
      </c>
      <c r="R15" s="9">
        <f t="shared" si="8"/>
        <v>0.4798208815622596</v>
      </c>
      <c r="S15" s="10">
        <f t="shared" si="9"/>
        <v>0.039985073463521634</v>
      </c>
      <c r="T15" s="9">
        <f t="shared" si="10"/>
        <v>23.520179118437742</v>
      </c>
      <c r="U15" s="10">
        <f t="shared" si="11"/>
        <v>0.043348259869811695</v>
      </c>
    </row>
    <row r="16" spans="1:21" ht="12.75">
      <c r="A16" s="5">
        <v>14</v>
      </c>
      <c r="B16" s="6" t="str">
        <f t="shared" si="12"/>
        <v>Wednesday</v>
      </c>
      <c r="C16" s="59"/>
      <c r="D16" s="92" t="s">
        <v>45</v>
      </c>
      <c r="E16" s="8" t="s">
        <v>36</v>
      </c>
      <c r="F16" s="6" t="s">
        <v>46</v>
      </c>
      <c r="G16" s="136"/>
      <c r="H16" s="9">
        <f t="shared" si="0"/>
        <v>12.046034772277395</v>
      </c>
      <c r="I16" s="9">
        <f t="shared" si="1"/>
        <v>6.1763770503928015</v>
      </c>
      <c r="J16" s="9">
        <f t="shared" si="2"/>
        <v>0.306719328508209</v>
      </c>
      <c r="K16" s="9">
        <f t="shared" si="3"/>
        <v>0.4263770503928018</v>
      </c>
      <c r="L16" s="9">
        <f t="shared" si="4"/>
        <v>0.5460347722773946</v>
      </c>
      <c r="M16" s="9">
        <f t="shared" si="5"/>
        <v>0.6656924941619874</v>
      </c>
      <c r="N16" s="9">
        <f t="shared" si="6"/>
        <v>0.7853502160465802</v>
      </c>
      <c r="O16" s="9">
        <f t="shared" si="7"/>
        <v>0.9156924941619874</v>
      </c>
      <c r="P16" s="9">
        <f>sunrise(Location!$B$4,Location!$B$5,Location!$B$6,10,A16,Location!$B$7,IF(Location!$B$8="No",0,1))</f>
        <v>0.306719328508209</v>
      </c>
      <c r="Q16" s="9">
        <f>sunset(Location!$B$4,Location!$B$5,Location!$B$6,10,A16,Location!$B$7,IF(Location!$B$8="No",0,1))</f>
        <v>0.7853502160465802</v>
      </c>
      <c r="R16" s="9">
        <f t="shared" si="8"/>
        <v>0.4786308875383712</v>
      </c>
      <c r="S16" s="10">
        <f t="shared" si="9"/>
        <v>0.03988590729486426</v>
      </c>
      <c r="T16" s="9">
        <f t="shared" si="10"/>
        <v>23.521369112461628</v>
      </c>
      <c r="U16" s="10">
        <f t="shared" si="11"/>
        <v>0.043447426038469066</v>
      </c>
    </row>
    <row r="17" spans="1:21" ht="12.75">
      <c r="A17" s="5">
        <v>15</v>
      </c>
      <c r="B17" s="6" t="str">
        <f aca="true" t="shared" si="13" ref="B17:B23">B3</f>
        <v>Thursday</v>
      </c>
      <c r="C17" s="59"/>
      <c r="D17" s="7"/>
      <c r="E17" s="8" t="s">
        <v>17</v>
      </c>
      <c r="F17" s="6" t="s">
        <v>47</v>
      </c>
      <c r="G17" s="136"/>
      <c r="H17" s="9">
        <f t="shared" si="0"/>
        <v>12.045879377545827</v>
      </c>
      <c r="I17" s="9">
        <f t="shared" si="1"/>
        <v>6.176518142669653</v>
      </c>
      <c r="J17" s="9">
        <f t="shared" si="2"/>
        <v>0.30715690779347793</v>
      </c>
      <c r="K17" s="9">
        <f t="shared" si="3"/>
        <v>0.4265181426696522</v>
      </c>
      <c r="L17" s="9">
        <f t="shared" si="4"/>
        <v>0.5458793775458265</v>
      </c>
      <c r="M17" s="9">
        <f t="shared" si="5"/>
        <v>0.6652406124220007</v>
      </c>
      <c r="N17" s="9">
        <f t="shared" si="6"/>
        <v>0.7846018472981751</v>
      </c>
      <c r="O17" s="9">
        <f t="shared" si="7"/>
        <v>0.9152406124220007</v>
      </c>
      <c r="P17" s="9">
        <f>sunrise(Location!$B$4,Location!$B$5,Location!$B$6,10,A17,Location!$B$7,IF(Location!$B$8="No",0,1))</f>
        <v>0.30715690779347793</v>
      </c>
      <c r="Q17" s="9">
        <f>sunset(Location!$B$4,Location!$B$5,Location!$B$6,10,A17,Location!$B$7,IF(Location!$B$8="No",0,1))</f>
        <v>0.7846018472981751</v>
      </c>
      <c r="R17" s="9">
        <f t="shared" si="8"/>
        <v>0.47744493950469713</v>
      </c>
      <c r="S17" s="10">
        <f t="shared" si="9"/>
        <v>0.039787078292058096</v>
      </c>
      <c r="T17" s="9">
        <f t="shared" si="10"/>
        <v>23.522555060495304</v>
      </c>
      <c r="U17" s="10">
        <f t="shared" si="11"/>
        <v>0.04354625504127523</v>
      </c>
    </row>
    <row r="18" spans="1:21" ht="12.75">
      <c r="A18" s="5">
        <v>16</v>
      </c>
      <c r="B18" s="6" t="str">
        <f t="shared" si="13"/>
        <v>Friday</v>
      </c>
      <c r="C18" s="59"/>
      <c r="D18" s="92" t="s">
        <v>48</v>
      </c>
      <c r="E18" s="8" t="s">
        <v>21</v>
      </c>
      <c r="F18" s="6" t="s">
        <v>102</v>
      </c>
      <c r="G18" s="136"/>
      <c r="H18" s="9">
        <f t="shared" si="0"/>
        <v>12.045730627368446</v>
      </c>
      <c r="I18" s="9">
        <f t="shared" si="1"/>
        <v>6.176664804530361</v>
      </c>
      <c r="J18" s="9">
        <f t="shared" si="2"/>
        <v>0.307598981692277</v>
      </c>
      <c r="K18" s="9">
        <f t="shared" si="3"/>
        <v>0.4266648045303615</v>
      </c>
      <c r="L18" s="9">
        <f t="shared" si="4"/>
        <v>0.5457306273684459</v>
      </c>
      <c r="M18" s="9">
        <f t="shared" si="5"/>
        <v>0.6647964502065304</v>
      </c>
      <c r="N18" s="9">
        <f t="shared" si="6"/>
        <v>0.7838622730446149</v>
      </c>
      <c r="O18" s="9">
        <f t="shared" si="7"/>
        <v>0.9147964502065304</v>
      </c>
      <c r="P18" s="9">
        <f>sunrise(Location!$B$4,Location!$B$5,Location!$B$6,10,A18,Location!$B$7,IF(Location!$B$8="No",0,1))</f>
        <v>0.307598981692277</v>
      </c>
      <c r="Q18" s="9">
        <f>sunset(Location!$B$4,Location!$B$5,Location!$B$6,10,A18,Location!$B$7,IF(Location!$B$8="No",0,1))</f>
        <v>0.7838622730446149</v>
      </c>
      <c r="R18" s="9">
        <f t="shared" si="8"/>
        <v>0.47626329135233786</v>
      </c>
      <c r="S18" s="10">
        <f t="shared" si="9"/>
        <v>0.03968860761269482</v>
      </c>
      <c r="T18" s="9">
        <f t="shared" si="10"/>
        <v>23.52373670864766</v>
      </c>
      <c r="U18" s="10">
        <f t="shared" si="11"/>
        <v>0.04364472572063851</v>
      </c>
    </row>
    <row r="19" spans="1:21" ht="12.75">
      <c r="A19" s="5">
        <v>17</v>
      </c>
      <c r="B19" s="6" t="str">
        <f t="shared" si="13"/>
        <v>Saturday</v>
      </c>
      <c r="C19" s="59"/>
      <c r="D19" s="92" t="s">
        <v>50</v>
      </c>
      <c r="E19" s="8" t="s">
        <v>24</v>
      </c>
      <c r="F19" s="6" t="s">
        <v>103</v>
      </c>
      <c r="G19" s="140"/>
      <c r="H19" s="9">
        <f t="shared" si="0"/>
        <v>12.045588735279038</v>
      </c>
      <c r="I19" s="9">
        <f t="shared" si="1"/>
        <v>6.1768171842066835</v>
      </c>
      <c r="J19" s="9">
        <f t="shared" si="2"/>
        <v>0.308045633134329</v>
      </c>
      <c r="K19" s="9">
        <f t="shared" si="3"/>
        <v>0.42681718420668335</v>
      </c>
      <c r="L19" s="9">
        <f t="shared" si="4"/>
        <v>0.5455887352790377</v>
      </c>
      <c r="M19" s="9">
        <f t="shared" si="5"/>
        <v>0.6643602863513921</v>
      </c>
      <c r="N19" s="9">
        <f t="shared" si="6"/>
        <v>0.7831318374237465</v>
      </c>
      <c r="O19" s="9">
        <f t="shared" si="7"/>
        <v>0.9143602863513921</v>
      </c>
      <c r="P19" s="9">
        <f>sunrise(Location!$B$4,Location!$B$5,Location!$B$6,10,A19,Location!$B$7,IF(Location!$B$8="No",0,1))</f>
        <v>0.308045633134329</v>
      </c>
      <c r="Q19" s="9">
        <f>sunset(Location!$B$4,Location!$B$5,Location!$B$6,10,A19,Location!$B$7,IF(Location!$B$8="No",0,1))</f>
        <v>0.7831318374237465</v>
      </c>
      <c r="R19" s="9">
        <f t="shared" si="8"/>
        <v>0.4750862042894175</v>
      </c>
      <c r="S19" s="10">
        <f t="shared" si="9"/>
        <v>0.03959051702411812</v>
      </c>
      <c r="T19" s="9">
        <f t="shared" si="10"/>
        <v>23.52491379571058</v>
      </c>
      <c r="U19" s="10">
        <f t="shared" si="11"/>
        <v>0.043742816309215206</v>
      </c>
    </row>
    <row r="20" spans="1:21" ht="12.75">
      <c r="A20" s="5">
        <v>18</v>
      </c>
      <c r="B20" s="6" t="str">
        <f t="shared" si="13"/>
        <v>Sunday</v>
      </c>
      <c r="C20" s="59"/>
      <c r="D20" s="7"/>
      <c r="E20" s="8" t="s">
        <v>26</v>
      </c>
      <c r="F20" s="6" t="s">
        <v>105</v>
      </c>
      <c r="G20" s="138" t="s">
        <v>318</v>
      </c>
      <c r="H20" s="9">
        <f t="shared" si="0"/>
        <v>12.04545391091209</v>
      </c>
      <c r="I20" s="9">
        <f t="shared" si="1"/>
        <v>6.176975424139744</v>
      </c>
      <c r="J20" s="9">
        <f t="shared" si="2"/>
        <v>0.30849693736739764</v>
      </c>
      <c r="K20" s="9">
        <f t="shared" si="3"/>
        <v>0.42697542413974476</v>
      </c>
      <c r="L20" s="9">
        <f t="shared" si="4"/>
        <v>0.5454539109120919</v>
      </c>
      <c r="M20" s="9">
        <f t="shared" si="5"/>
        <v>0.6639323976844391</v>
      </c>
      <c r="N20" s="9">
        <f t="shared" si="6"/>
        <v>0.7824108844567863</v>
      </c>
      <c r="O20" s="9">
        <f t="shared" si="7"/>
        <v>0.9139323976844391</v>
      </c>
      <c r="P20" s="9">
        <f>sunrise(Location!$B$4,Location!$B$5,Location!$B$6,10,A20,Location!$B$7,IF(Location!$B$8="No",0,1))</f>
        <v>0.30849693736739764</v>
      </c>
      <c r="Q20" s="9">
        <f>sunset(Location!$B$4,Location!$B$5,Location!$B$6,10,A20,Location!$B$7,IF(Location!$B$8="No",0,1))</f>
        <v>0.7824108844567863</v>
      </c>
      <c r="R20" s="9">
        <f t="shared" si="8"/>
        <v>0.47391394708938867</v>
      </c>
      <c r="S20" s="10">
        <f t="shared" si="9"/>
        <v>0.03949282892411572</v>
      </c>
      <c r="T20" s="9">
        <f t="shared" si="10"/>
        <v>23.52608605291061</v>
      </c>
      <c r="U20" s="10">
        <f t="shared" si="11"/>
        <v>0.04384050440921761</v>
      </c>
    </row>
    <row r="21" spans="1:21" ht="12.75">
      <c r="A21" s="5">
        <v>19</v>
      </c>
      <c r="B21" s="6" t="str">
        <f t="shared" si="13"/>
        <v>Monday</v>
      </c>
      <c r="C21" s="59"/>
      <c r="D21" s="92" t="s">
        <v>53</v>
      </c>
      <c r="E21" s="8" t="s">
        <v>29</v>
      </c>
      <c r="F21" s="6" t="s">
        <v>107</v>
      </c>
      <c r="G21" s="127" t="s">
        <v>315</v>
      </c>
      <c r="H21" s="9">
        <f t="shared" si="0"/>
        <v>12.04532635966881</v>
      </c>
      <c r="I21" s="9">
        <f t="shared" si="1"/>
        <v>6.177139660585674</v>
      </c>
      <c r="J21" s="9">
        <f t="shared" si="2"/>
        <v>0.3089529615025382</v>
      </c>
      <c r="K21" s="9">
        <f t="shared" si="3"/>
        <v>0.427139660585674</v>
      </c>
      <c r="L21" s="9">
        <f t="shared" si="4"/>
        <v>0.5453263596688097</v>
      </c>
      <c r="M21" s="9">
        <f t="shared" si="5"/>
        <v>0.6635130587519456</v>
      </c>
      <c r="N21" s="9">
        <f t="shared" si="6"/>
        <v>0.7816997578350813</v>
      </c>
      <c r="O21" s="9">
        <f t="shared" si="7"/>
        <v>0.9135130587519456</v>
      </c>
      <c r="P21" s="9">
        <f>sunrise(Location!$B$4,Location!$B$5,Location!$B$6,10,A21,Location!$B$7,IF(Location!$B$8="No",0,1))</f>
        <v>0.3089529615025382</v>
      </c>
      <c r="Q21" s="9">
        <f>sunset(Location!$B$4,Location!$B$5,Location!$B$6,10,A21,Location!$B$7,IF(Location!$B$8="No",0,1))</f>
        <v>0.7816997578350813</v>
      </c>
      <c r="R21" s="9">
        <f t="shared" si="8"/>
        <v>0.4727467963325431</v>
      </c>
      <c r="S21" s="10">
        <f t="shared" si="9"/>
        <v>0.039395566361045256</v>
      </c>
      <c r="T21" s="9">
        <f t="shared" si="10"/>
        <v>23.527253203667456</v>
      </c>
      <c r="U21" s="10">
        <f t="shared" si="11"/>
        <v>0.04393776697228807</v>
      </c>
    </row>
    <row r="22" spans="1:21" ht="12.75">
      <c r="A22" s="5">
        <v>20</v>
      </c>
      <c r="B22" s="6" t="str">
        <f t="shared" si="13"/>
        <v>Tuesday</v>
      </c>
      <c r="C22" s="59"/>
      <c r="D22" s="92" t="s">
        <v>55</v>
      </c>
      <c r="E22" s="8" t="s">
        <v>32</v>
      </c>
      <c r="F22" s="6" t="s">
        <v>108</v>
      </c>
      <c r="G22" s="136"/>
      <c r="H22" s="9">
        <f t="shared" si="0"/>
        <v>12.04520628237411</v>
      </c>
      <c r="I22" s="9">
        <f t="shared" si="1"/>
        <v>6.177310023215413</v>
      </c>
      <c r="J22" s="9">
        <f t="shared" si="2"/>
        <v>0.3094137640567159</v>
      </c>
      <c r="K22" s="9">
        <f t="shared" si="3"/>
        <v>0.427310023215413</v>
      </c>
      <c r="L22" s="9">
        <f t="shared" si="4"/>
        <v>0.5452062823741102</v>
      </c>
      <c r="M22" s="9">
        <f t="shared" si="5"/>
        <v>0.6631025415328073</v>
      </c>
      <c r="N22" s="9">
        <f t="shared" si="6"/>
        <v>0.7809988006915044</v>
      </c>
      <c r="O22" s="9">
        <f t="shared" si="7"/>
        <v>0.9131025415328072</v>
      </c>
      <c r="P22" s="9">
        <f>sunrise(Location!$B$4,Location!$B$5,Location!$B$6,10,A22,Location!$B$7,IF(Location!$B$8="No",0,1))</f>
        <v>0.3094137640567159</v>
      </c>
      <c r="Q22" s="9">
        <f>sunset(Location!$B$4,Location!$B$5,Location!$B$6,10,A22,Location!$B$7,IF(Location!$B$8="No",0,1))</f>
        <v>0.7809988006915044</v>
      </c>
      <c r="R22" s="9">
        <f t="shared" si="8"/>
        <v>0.4715850366347885</v>
      </c>
      <c r="S22" s="10">
        <f t="shared" si="9"/>
        <v>0.039298753052899045</v>
      </c>
      <c r="T22" s="9">
        <f t="shared" si="10"/>
        <v>23.52841496336521</v>
      </c>
      <c r="U22" s="10">
        <f t="shared" si="11"/>
        <v>0.044034580280434284</v>
      </c>
    </row>
    <row r="23" spans="1:21" ht="12.75">
      <c r="A23" s="5">
        <v>21</v>
      </c>
      <c r="B23" s="6" t="str">
        <f t="shared" si="13"/>
        <v>Wednesday</v>
      </c>
      <c r="C23" s="59"/>
      <c r="D23" s="7"/>
      <c r="E23" s="8" t="s">
        <v>36</v>
      </c>
      <c r="F23" s="6" t="s">
        <v>110</v>
      </c>
      <c r="G23" s="136"/>
      <c r="H23" s="9">
        <f t="shared" si="0"/>
        <v>12.045093874926314</v>
      </c>
      <c r="I23" s="9">
        <f t="shared" si="1"/>
        <v>6.177486634710092</v>
      </c>
      <c r="J23" s="9">
        <f t="shared" si="2"/>
        <v>0.3098793944938693</v>
      </c>
      <c r="K23" s="9">
        <f t="shared" si="3"/>
        <v>0.4274866347100923</v>
      </c>
      <c r="L23" s="9">
        <f t="shared" si="4"/>
        <v>0.5450938749263152</v>
      </c>
      <c r="M23" s="9">
        <f t="shared" si="5"/>
        <v>0.6627011151425382</v>
      </c>
      <c r="N23" s="9">
        <f t="shared" si="6"/>
        <v>0.7803083553587612</v>
      </c>
      <c r="O23" s="9">
        <f t="shared" si="7"/>
        <v>0.9127011151425382</v>
      </c>
      <c r="P23" s="9">
        <f>sunrise(Location!$B$4,Location!$B$5,Location!$B$6,10,A23,Location!$B$7,IF(Location!$B$8="No",0,1))</f>
        <v>0.3098793944938693</v>
      </c>
      <c r="Q23" s="9">
        <f>sunset(Location!$B$4,Location!$B$5,Location!$B$6,10,A23,Location!$B$7,IF(Location!$B$8="No",0,1))</f>
        <v>0.7803083553587612</v>
      </c>
      <c r="R23" s="9">
        <f t="shared" si="8"/>
        <v>0.4704289608648919</v>
      </c>
      <c r="S23" s="10">
        <f t="shared" si="9"/>
        <v>0.03920241340540766</v>
      </c>
      <c r="T23" s="9">
        <f t="shared" si="10"/>
        <v>23.529571039135107</v>
      </c>
      <c r="U23" s="10">
        <f t="shared" si="11"/>
        <v>0.04413091992792567</v>
      </c>
    </row>
    <row r="24" spans="1:21" ht="12.75">
      <c r="A24" s="5">
        <v>22</v>
      </c>
      <c r="B24" s="6" t="str">
        <f aca="true" t="shared" si="14" ref="B24:B30">B3</f>
        <v>Thursday</v>
      </c>
      <c r="C24" s="59"/>
      <c r="D24" s="92" t="s">
        <v>59</v>
      </c>
      <c r="E24" s="8" t="s">
        <v>17</v>
      </c>
      <c r="F24" s="6" t="s">
        <v>111</v>
      </c>
      <c r="G24" s="136"/>
      <c r="H24" s="9">
        <f t="shared" si="0"/>
        <v>12.044989327941776</v>
      </c>
      <c r="I24" s="9">
        <f t="shared" si="1"/>
        <v>6.177669610354784</v>
      </c>
      <c r="J24" s="9">
        <f t="shared" si="2"/>
        <v>0.31034989276779223</v>
      </c>
      <c r="K24" s="9">
        <f t="shared" si="3"/>
        <v>0.4276696103547847</v>
      </c>
      <c r="L24" s="9">
        <f t="shared" si="4"/>
        <v>0.5449893279417771</v>
      </c>
      <c r="M24" s="9">
        <f t="shared" si="5"/>
        <v>0.6623090455287696</v>
      </c>
      <c r="N24" s="9">
        <f t="shared" si="6"/>
        <v>0.779628763115762</v>
      </c>
      <c r="O24" s="9">
        <f t="shared" si="7"/>
        <v>0.9123090455287696</v>
      </c>
      <c r="P24" s="9">
        <f>sunrise(Location!$B$4,Location!$B$5,Location!$B$6,10,A24,Location!$B$7,IF(Location!$B$8="No",0,1))</f>
        <v>0.31034989276779223</v>
      </c>
      <c r="Q24" s="9">
        <f>sunset(Location!$B$4,Location!$B$5,Location!$B$6,10,A24,Location!$B$7,IF(Location!$B$8="No",0,1))</f>
        <v>0.779628763115762</v>
      </c>
      <c r="R24" s="9">
        <f t="shared" si="8"/>
        <v>0.4692788703479698</v>
      </c>
      <c r="S24" s="10">
        <f t="shared" si="9"/>
        <v>0.039106572528997484</v>
      </c>
      <c r="T24" s="9">
        <f t="shared" si="10"/>
        <v>23.53072112965203</v>
      </c>
      <c r="U24" s="10">
        <f t="shared" si="11"/>
        <v>0.044226760804335845</v>
      </c>
    </row>
    <row r="25" spans="1:21" ht="12.75">
      <c r="A25" s="5">
        <v>23</v>
      </c>
      <c r="B25" s="6" t="str">
        <f t="shared" si="14"/>
        <v>Friday</v>
      </c>
      <c r="C25" s="59"/>
      <c r="D25" s="92" t="s">
        <v>61</v>
      </c>
      <c r="E25" s="8" t="s">
        <v>21</v>
      </c>
      <c r="F25" s="6" t="s">
        <v>112</v>
      </c>
      <c r="G25" s="47" t="s">
        <v>229</v>
      </c>
      <c r="H25" s="9">
        <f t="shared" si="0"/>
        <v>12.044892826393736</v>
      </c>
      <c r="I25" s="9">
        <f t="shared" si="1"/>
        <v>6.177859057629981</v>
      </c>
      <c r="J25" s="9">
        <f t="shared" si="2"/>
        <v>0.3108252888662264</v>
      </c>
      <c r="K25" s="9">
        <f t="shared" si="3"/>
        <v>0.42785905762998205</v>
      </c>
      <c r="L25" s="9">
        <f t="shared" si="4"/>
        <v>0.5448928263937377</v>
      </c>
      <c r="M25" s="9">
        <f t="shared" si="5"/>
        <v>0.6619265951574933</v>
      </c>
      <c r="N25" s="9">
        <f t="shared" si="6"/>
        <v>0.778960363921249</v>
      </c>
      <c r="O25" s="9">
        <f t="shared" si="7"/>
        <v>0.9119265951574933</v>
      </c>
      <c r="P25" s="9">
        <f>sunrise(Location!$B$4,Location!$B$5,Location!$B$6,10,A25,Location!$B$7,IF(Location!$B$8="No",0,1))</f>
        <v>0.3108252888662264</v>
      </c>
      <c r="Q25" s="9">
        <f>sunset(Location!$B$4,Location!$B$5,Location!$B$6,10,A25,Location!$B$7,IF(Location!$B$8="No",0,1))</f>
        <v>0.778960363921249</v>
      </c>
      <c r="R25" s="9">
        <f t="shared" si="8"/>
        <v>0.4681350750550226</v>
      </c>
      <c r="S25" s="10">
        <f t="shared" si="9"/>
        <v>0.039011256254585215</v>
      </c>
      <c r="T25" s="9">
        <f t="shared" si="10"/>
        <v>23.531864924944976</v>
      </c>
      <c r="U25" s="10">
        <f t="shared" si="11"/>
        <v>0.044322077078748114</v>
      </c>
    </row>
    <row r="26" spans="1:21" ht="12.75">
      <c r="A26" s="5">
        <v>24</v>
      </c>
      <c r="B26" s="6" t="str">
        <f t="shared" si="14"/>
        <v>Saturday</v>
      </c>
      <c r="C26" s="59"/>
      <c r="D26" s="7"/>
      <c r="E26" s="8" t="s">
        <v>24</v>
      </c>
      <c r="F26" s="6" t="s">
        <v>113</v>
      </c>
      <c r="G26" s="140"/>
      <c r="H26" s="9">
        <f t="shared" si="0"/>
        <v>12.0448045492462</v>
      </c>
      <c r="I26" s="9">
        <f t="shared" si="1"/>
        <v>6.178055075802743</v>
      </c>
      <c r="J26" s="9">
        <f t="shared" si="2"/>
        <v>0.31130560235928706</v>
      </c>
      <c r="K26" s="9">
        <f t="shared" si="3"/>
        <v>0.42805507580274327</v>
      </c>
      <c r="L26" s="9">
        <f t="shared" si="4"/>
        <v>0.5448045492461995</v>
      </c>
      <c r="M26" s="9">
        <f t="shared" si="5"/>
        <v>0.6615540226896557</v>
      </c>
      <c r="N26" s="9">
        <f t="shared" si="6"/>
        <v>0.7783034961331118</v>
      </c>
      <c r="O26" s="9">
        <f t="shared" si="7"/>
        <v>0.9115540226896556</v>
      </c>
      <c r="P26" s="9">
        <f>sunrise(Location!$B$4,Location!$B$5,Location!$B$6,10,A26,Location!$B$7,IF(Location!$B$8="No",0,1))</f>
        <v>0.31130560235928706</v>
      </c>
      <c r="Q26" s="9">
        <f>sunset(Location!$B$4,Location!$B$5,Location!$B$6,10,A26,Location!$B$7,IF(Location!$B$8="No",0,1))</f>
        <v>0.7783034961331118</v>
      </c>
      <c r="R26" s="9">
        <f t="shared" si="8"/>
        <v>0.4669978937738247</v>
      </c>
      <c r="S26" s="10">
        <f t="shared" si="9"/>
        <v>0.03891649114781873</v>
      </c>
      <c r="T26" s="9">
        <f t="shared" si="10"/>
        <v>23.533002106226174</v>
      </c>
      <c r="U26" s="10">
        <f t="shared" si="11"/>
        <v>0.0444168421855146</v>
      </c>
    </row>
    <row r="27" spans="1:21" ht="12.75">
      <c r="A27" s="5">
        <v>25</v>
      </c>
      <c r="B27" s="6" t="str">
        <f t="shared" si="14"/>
        <v>Sunday</v>
      </c>
      <c r="C27" s="59"/>
      <c r="D27" s="7"/>
      <c r="E27" s="8" t="s">
        <v>26</v>
      </c>
      <c r="F27" s="6" t="s">
        <v>114</v>
      </c>
      <c r="G27" s="138" t="s">
        <v>319</v>
      </c>
      <c r="H27" s="9">
        <f t="shared" si="0"/>
        <v>12.044724669085447</v>
      </c>
      <c r="I27" s="9">
        <f t="shared" si="1"/>
        <v>6.178257755518692</v>
      </c>
      <c r="J27" s="9">
        <f t="shared" si="2"/>
        <v>0.3117908419519378</v>
      </c>
      <c r="K27" s="9">
        <f t="shared" si="3"/>
        <v>0.42825775551869194</v>
      </c>
      <c r="L27" s="9">
        <f t="shared" si="4"/>
        <v>0.544724669085446</v>
      </c>
      <c r="M27" s="9">
        <f t="shared" si="5"/>
        <v>0.6611915826522001</v>
      </c>
      <c r="N27" s="9">
        <f t="shared" si="6"/>
        <v>0.7776584962189542</v>
      </c>
      <c r="O27" s="9">
        <f t="shared" si="7"/>
        <v>0.9111915826522001</v>
      </c>
      <c r="P27" s="9">
        <f>sunrise(Location!$B$4,Location!$B$5,Location!$B$6,10,A27,Location!$B$7,IF(Location!$B$8="No",0,1))</f>
        <v>0.3117908419519378</v>
      </c>
      <c r="Q27" s="9">
        <f>sunset(Location!$B$4,Location!$B$5,Location!$B$6,10,A27,Location!$B$7,IF(Location!$B$8="No",0,1))</f>
        <v>0.7776584962189542</v>
      </c>
      <c r="R27" s="9">
        <f t="shared" si="8"/>
        <v>0.46586765426701643</v>
      </c>
      <c r="S27" s="10">
        <f t="shared" si="9"/>
        <v>0.03882230452225137</v>
      </c>
      <c r="T27" s="9">
        <f t="shared" si="10"/>
        <v>23.534132345732985</v>
      </c>
      <c r="U27" s="10">
        <f t="shared" si="11"/>
        <v>0.04451102881108196</v>
      </c>
    </row>
    <row r="28" spans="1:21" ht="12.75">
      <c r="A28" s="5">
        <v>26</v>
      </c>
      <c r="B28" s="6" t="str">
        <f t="shared" si="14"/>
        <v>Monday</v>
      </c>
      <c r="C28" s="59"/>
      <c r="D28" s="92" t="s">
        <v>64</v>
      </c>
      <c r="E28" s="8" t="s">
        <v>29</v>
      </c>
      <c r="F28" s="6" t="s">
        <v>116</v>
      </c>
      <c r="G28" s="136"/>
      <c r="H28" s="9">
        <f t="shared" si="0"/>
        <v>12.044653351748005</v>
      </c>
      <c r="I28" s="9">
        <f t="shared" si="1"/>
        <v>6.17846717839647</v>
      </c>
      <c r="J28" s="9">
        <f t="shared" si="2"/>
        <v>0.3122810050449348</v>
      </c>
      <c r="K28" s="9">
        <f t="shared" si="3"/>
        <v>0.42846717839646997</v>
      </c>
      <c r="L28" s="9">
        <f t="shared" si="4"/>
        <v>0.5446533517480051</v>
      </c>
      <c r="M28" s="9">
        <f t="shared" si="5"/>
        <v>0.6608395250995402</v>
      </c>
      <c r="N28" s="9">
        <f t="shared" si="6"/>
        <v>0.7770256984510755</v>
      </c>
      <c r="O28" s="9">
        <f t="shared" si="7"/>
        <v>0.9108395250995402</v>
      </c>
      <c r="P28" s="9">
        <f>sunrise(Location!$B$4,Location!$B$5,Location!$B$6,10,A28,Location!$B$7,IF(Location!$B$8="No",0,1))</f>
        <v>0.3122810050449348</v>
      </c>
      <c r="Q28" s="9">
        <f>sunset(Location!$B$4,Location!$B$5,Location!$B$6,10,A28,Location!$B$7,IF(Location!$B$8="No",0,1))</f>
        <v>0.7770256984510755</v>
      </c>
      <c r="R28" s="9">
        <f t="shared" si="8"/>
        <v>0.4647446934061407</v>
      </c>
      <c r="S28" s="10">
        <f t="shared" si="9"/>
        <v>0.038728724450511724</v>
      </c>
      <c r="T28" s="9">
        <f t="shared" si="10"/>
        <v>23.53525530659386</v>
      </c>
      <c r="U28" s="10">
        <f t="shared" si="11"/>
        <v>0.044604608882821604</v>
      </c>
    </row>
    <row r="29" spans="1:21" ht="12.75">
      <c r="A29" s="5">
        <v>27</v>
      </c>
      <c r="B29" s="6" t="str">
        <f t="shared" si="14"/>
        <v>Tuesday</v>
      </c>
      <c r="C29" s="59"/>
      <c r="D29" s="92" t="s">
        <v>67</v>
      </c>
      <c r="E29" s="8" t="s">
        <v>32</v>
      </c>
      <c r="F29" s="6" t="s">
        <v>117</v>
      </c>
      <c r="G29" s="136"/>
      <c r="H29" s="9">
        <f t="shared" si="0"/>
        <v>12.044590755948713</v>
      </c>
      <c r="I29" s="9">
        <f t="shared" si="1"/>
        <v>6.178683416626885</v>
      </c>
      <c r="J29" s="9">
        <f t="shared" si="2"/>
        <v>0.31277607730505835</v>
      </c>
      <c r="K29" s="9">
        <f t="shared" si="3"/>
        <v>0.4286834166268859</v>
      </c>
      <c r="L29" s="9">
        <f t="shared" si="4"/>
        <v>0.5445907559487134</v>
      </c>
      <c r="M29" s="9">
        <f t="shared" si="5"/>
        <v>0.660498095270541</v>
      </c>
      <c r="N29" s="9">
        <f t="shared" si="6"/>
        <v>0.7764054345923685</v>
      </c>
      <c r="O29" s="9">
        <f t="shared" si="7"/>
        <v>0.910498095270541</v>
      </c>
      <c r="P29" s="9">
        <f>sunrise(Location!$B$4,Location!$B$5,Location!$B$6,10,A29,Location!$B$7,IF(Location!$B$8="No",0,1))</f>
        <v>0.31277607730505835</v>
      </c>
      <c r="Q29" s="9">
        <f>sunset(Location!$B$4,Location!$B$5,Location!$B$6,10,A29,Location!$B$7,IF(Location!$B$8="No",0,1))</f>
        <v>0.7764054345923685</v>
      </c>
      <c r="R29" s="9">
        <f t="shared" si="8"/>
        <v>0.4636293572873102</v>
      </c>
      <c r="S29" s="10">
        <f t="shared" si="9"/>
        <v>0.038635779773942516</v>
      </c>
      <c r="T29" s="9">
        <f t="shared" si="10"/>
        <v>23.53637064271269</v>
      </c>
      <c r="U29" s="10">
        <f t="shared" si="11"/>
        <v>0.04469755355939081</v>
      </c>
    </row>
    <row r="30" spans="1:21" ht="12.75">
      <c r="A30" s="5">
        <v>28</v>
      </c>
      <c r="B30" s="6" t="str">
        <f t="shared" si="14"/>
        <v>Wednesday</v>
      </c>
      <c r="C30" s="59"/>
      <c r="D30" s="92" t="s">
        <v>69</v>
      </c>
      <c r="E30" s="8" t="s">
        <v>36</v>
      </c>
      <c r="F30" s="6" t="s">
        <v>118</v>
      </c>
      <c r="G30" s="47" t="s">
        <v>242</v>
      </c>
      <c r="H30" s="9">
        <f t="shared" si="0"/>
        <v>12.044537032907146</v>
      </c>
      <c r="I30" s="9">
        <f t="shared" si="1"/>
        <v>6.178906532575679</v>
      </c>
      <c r="J30" s="9">
        <f t="shared" si="2"/>
        <v>0.3132760322442128</v>
      </c>
      <c r="K30" s="9">
        <f t="shared" si="3"/>
        <v>0.4289065325756797</v>
      </c>
      <c r="L30" s="9">
        <f t="shared" si="4"/>
        <v>0.5445370329071465</v>
      </c>
      <c r="M30" s="9">
        <f t="shared" si="5"/>
        <v>0.6601675332386133</v>
      </c>
      <c r="N30" s="9">
        <f t="shared" si="6"/>
        <v>0.7757980335700801</v>
      </c>
      <c r="O30" s="9">
        <f t="shared" si="7"/>
        <v>0.9101675332386133</v>
      </c>
      <c r="P30" s="9">
        <f>sunrise(Location!$B$4,Location!$B$5,Location!$B$6,10,A30,Location!$B$7,IF(Location!$B$8="No",0,1))</f>
        <v>0.3132760322442128</v>
      </c>
      <c r="Q30" s="9">
        <f>sunset(Location!$B$4,Location!$B$5,Location!$B$6,10,A30,Location!$B$7,IF(Location!$B$8="No",0,1))</f>
        <v>0.7757980335700801</v>
      </c>
      <c r="R30" s="9">
        <f t="shared" si="8"/>
        <v>0.46252200132586735</v>
      </c>
      <c r="S30" s="10">
        <f t="shared" si="9"/>
        <v>0.038543500110488946</v>
      </c>
      <c r="T30" s="9">
        <f t="shared" si="10"/>
        <v>23.53747799867413</v>
      </c>
      <c r="U30" s="10">
        <f t="shared" si="11"/>
        <v>0.04478983322284438</v>
      </c>
    </row>
    <row r="31" spans="1:21" ht="12.75">
      <c r="A31" s="5">
        <v>29</v>
      </c>
      <c r="B31" s="6" t="str">
        <f>B3</f>
        <v>Thursday</v>
      </c>
      <c r="C31" s="59"/>
      <c r="D31" s="7"/>
      <c r="E31" s="8" t="s">
        <v>17</v>
      </c>
      <c r="F31" s="6" t="s">
        <v>119</v>
      </c>
      <c r="G31" s="136"/>
      <c r="H31" s="9">
        <f t="shared" si="0"/>
        <v>12.044492325977131</v>
      </c>
      <c r="I31" s="9">
        <f t="shared" si="1"/>
        <v>6.1791365783957914</v>
      </c>
      <c r="J31" s="9">
        <f t="shared" si="2"/>
        <v>0.31378083081445174</v>
      </c>
      <c r="K31" s="9">
        <f t="shared" si="3"/>
        <v>0.4291365783957913</v>
      </c>
      <c r="L31" s="9">
        <f t="shared" si="4"/>
        <v>0.5444923259771308</v>
      </c>
      <c r="M31" s="9">
        <f t="shared" si="5"/>
        <v>0.6598480735584703</v>
      </c>
      <c r="N31" s="9">
        <f t="shared" si="6"/>
        <v>0.7752038211398098</v>
      </c>
      <c r="O31" s="9">
        <f t="shared" si="7"/>
        <v>0.9098480735584703</v>
      </c>
      <c r="P31" s="9">
        <f>sunrise(Location!$B$4,Location!$B$5,Location!$B$6,10,A31,Location!$B$7,IF(Location!$B$8="No",0,1))</f>
        <v>0.31378083081445174</v>
      </c>
      <c r="Q31" s="9">
        <f>sunset(Location!$B$4,Location!$B$5,Location!$B$6,10,A31,Location!$B$7,IF(Location!$B$8="No",0,1))</f>
        <v>0.7752038211398098</v>
      </c>
      <c r="R31" s="9">
        <f t="shared" si="8"/>
        <v>0.46142299032535805</v>
      </c>
      <c r="S31" s="10">
        <f t="shared" si="9"/>
        <v>0.0384519158604465</v>
      </c>
      <c r="T31" s="9">
        <f t="shared" si="10"/>
        <v>23.538577009674643</v>
      </c>
      <c r="U31" s="10">
        <f t="shared" si="11"/>
        <v>0.04488141747288683</v>
      </c>
    </row>
    <row r="32" spans="1:21" ht="12.75">
      <c r="A32" s="5">
        <v>30</v>
      </c>
      <c r="B32" s="6" t="str">
        <f>B4</f>
        <v>Friday</v>
      </c>
      <c r="C32" s="59"/>
      <c r="D32" s="92" t="s">
        <v>72</v>
      </c>
      <c r="E32" s="8" t="s">
        <v>21</v>
      </c>
      <c r="F32" s="6" t="s">
        <v>120</v>
      </c>
      <c r="G32" s="136"/>
      <c r="H32" s="9">
        <f t="shared" si="0"/>
        <v>12.044456770275337</v>
      </c>
      <c r="I32" s="9">
        <f t="shared" si="1"/>
        <v>6.179373595645036</v>
      </c>
      <c r="J32" s="9">
        <f t="shared" si="2"/>
        <v>0.3142904210147349</v>
      </c>
      <c r="K32" s="9">
        <f t="shared" si="3"/>
        <v>0.4293735956450358</v>
      </c>
      <c r="L32" s="9">
        <f t="shared" si="4"/>
        <v>0.5444567702753367</v>
      </c>
      <c r="M32" s="9">
        <f t="shared" si="5"/>
        <v>0.6595399449056376</v>
      </c>
      <c r="N32" s="9">
        <f t="shared" si="6"/>
        <v>0.7746231195359385</v>
      </c>
      <c r="O32" s="9">
        <f t="shared" si="7"/>
        <v>0.9095399449056376</v>
      </c>
      <c r="P32" s="9">
        <f>sunrise(Location!$B$4,Location!$B$5,Location!$B$6,10,A32,Location!$B$7,IF(Location!$B$8="No",0,1))</f>
        <v>0.3142904210147349</v>
      </c>
      <c r="Q32" s="9">
        <f>sunset(Location!$B$4,Location!$B$5,Location!$B$6,10,A32,Location!$B$7,IF(Location!$B$8="No",0,1))</f>
        <v>0.7746231195359385</v>
      </c>
      <c r="R32" s="9">
        <f t="shared" si="8"/>
        <v>0.4603326985212036</v>
      </c>
      <c r="S32" s="10">
        <f t="shared" si="9"/>
        <v>0.0383610582101003</v>
      </c>
      <c r="T32" s="9">
        <f t="shared" si="10"/>
        <v>23.539667301478797</v>
      </c>
      <c r="U32" s="10">
        <f t="shared" si="11"/>
        <v>0.04497227512323303</v>
      </c>
    </row>
    <row r="33" spans="1:21" ht="12.75">
      <c r="A33" s="5">
        <v>31</v>
      </c>
      <c r="B33" s="6" t="str">
        <f>B5</f>
        <v>Saturday</v>
      </c>
      <c r="C33" s="59"/>
      <c r="D33" s="92" t="s">
        <v>75</v>
      </c>
      <c r="E33" s="8" t="s">
        <v>24</v>
      </c>
      <c r="F33" s="6" t="s">
        <v>78</v>
      </c>
      <c r="G33" s="140"/>
      <c r="H33" s="9">
        <f t="shared" si="0"/>
        <v>12.044430492317717</v>
      </c>
      <c r="I33" s="9">
        <f t="shared" si="1"/>
        <v>6.179617614917991</v>
      </c>
      <c r="J33" s="9">
        <f t="shared" si="2"/>
        <v>0.3148047375182647</v>
      </c>
      <c r="K33" s="9">
        <f t="shared" si="3"/>
        <v>0.42961761491799133</v>
      </c>
      <c r="L33" s="9">
        <f t="shared" si="4"/>
        <v>0.544430492317718</v>
      </c>
      <c r="M33" s="9">
        <f t="shared" si="5"/>
        <v>0.6592433697174447</v>
      </c>
      <c r="N33" s="9">
        <f t="shared" si="6"/>
        <v>0.7740562471171714</v>
      </c>
      <c r="O33" s="9">
        <f t="shared" si="7"/>
        <v>0.9092433697174447</v>
      </c>
      <c r="P33" s="9">
        <f>sunrise(Location!$B$4,Location!$B$5,Location!$B$6,10,A33,Location!$B$7,IF(Location!$B$8="No",0,1))</f>
        <v>0.3148047375182647</v>
      </c>
      <c r="Q33" s="9">
        <f>sunset(Location!$B$4,Location!$B$5,Location!$B$6,10,A33,Location!$B$7,IF(Location!$B$8="No",0,1))</f>
        <v>0.7740562471171714</v>
      </c>
      <c r="R33" s="9">
        <f t="shared" si="8"/>
        <v>0.45925150959890665</v>
      </c>
      <c r="S33" s="10">
        <f t="shared" si="9"/>
        <v>0.03827095913324222</v>
      </c>
      <c r="T33" s="9">
        <f t="shared" si="10"/>
        <v>23.540748490401093</v>
      </c>
      <c r="U33" s="10">
        <f t="shared" si="11"/>
        <v>0.045062374200091106</v>
      </c>
    </row>
    <row r="35" ht="12.75">
      <c r="A35" s="6"/>
    </row>
    <row r="36" ht="12.75">
      <c r="D36" s="53"/>
    </row>
    <row r="37" spans="3:5" ht="12.75">
      <c r="C37" s="58" t="str">
        <f>IF(Location!B9="No",Location!C13,Location!C14)</f>
        <v>D</v>
      </c>
      <c r="E37" s="52"/>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U37"/>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4" width="3.7109375" style="4" customWidth="1"/>
    <col min="5" max="5" width="4.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172</v>
      </c>
      <c r="B1" s="118"/>
      <c r="C1" s="118"/>
      <c r="D1" s="118"/>
      <c r="E1" s="123"/>
      <c r="F1" s="119" t="str">
        <f>ROMAN(Location!$B$6)</f>
        <v>MMIX</v>
      </c>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132</v>
      </c>
      <c r="T2" s="27" t="s">
        <v>15</v>
      </c>
      <c r="U2" s="27" t="s">
        <v>133</v>
      </c>
    </row>
    <row r="3" spans="1:21" ht="12.75">
      <c r="A3" s="5">
        <v>1</v>
      </c>
      <c r="B3" s="6" t="str">
        <f>October!B27</f>
        <v>Sunday</v>
      </c>
      <c r="C3" s="59"/>
      <c r="D3" s="7"/>
      <c r="E3" s="8" t="s">
        <v>26</v>
      </c>
      <c r="F3" s="6" t="s">
        <v>18</v>
      </c>
      <c r="G3" s="44" t="s">
        <v>148</v>
      </c>
      <c r="H3" s="9">
        <f aca="true" t="shared" si="0" ref="H3:H32">(T3/2)+Q3-"12:00:00"</f>
        <v>12.00274694298897</v>
      </c>
      <c r="I3" s="9">
        <f aca="true" t="shared" si="1" ref="I3:I32">H3+((J3-H3)/2)</f>
        <v>6.1382019888188895</v>
      </c>
      <c r="J3" s="9">
        <f aca="true" t="shared" si="2" ref="J3:J32">P3</f>
        <v>0.27365703464880764</v>
      </c>
      <c r="K3" s="9">
        <f aca="true" t="shared" si="3" ref="K3:K32">J3+((L3-J3)/2)</f>
        <v>0.388201988818889</v>
      </c>
      <c r="L3" s="9">
        <f aca="true" t="shared" si="4" ref="L3:L32">(R3/2)+J3</f>
        <v>0.5027469429889704</v>
      </c>
      <c r="M3" s="9">
        <f aca="true" t="shared" si="5" ref="M3:M32">((N3-L3)/2)+L3</f>
        <v>0.6172918971590518</v>
      </c>
      <c r="N3" s="9">
        <f aca="true" t="shared" si="6" ref="N3:N32">Q3</f>
        <v>0.7318368513291331</v>
      </c>
      <c r="O3" s="9">
        <f aca="true" t="shared" si="7" ref="O3:O32">3*U3+N3</f>
        <v>0.8672918971590518</v>
      </c>
      <c r="P3" s="9">
        <f>sunrise(Location!$B$4,Location!$B$5,Location!$B$6,11,A3,Location!$B$7,IF(Location!$B$8="No",0,IF(B3="Sunday",0,1)))</f>
        <v>0.27365703464880764</v>
      </c>
      <c r="Q3" s="9">
        <f>sunset(Location!$B$4,Location!$B$5,Location!$B$6,11,A3,Location!$B$7,IF(Location!$B$8="No",0,IF(B3="Sunday",0,1)))</f>
        <v>0.7318368513291331</v>
      </c>
      <c r="R3" s="9">
        <f aca="true" t="shared" si="8" ref="R3:R32">Q3-P3</f>
        <v>0.4581798166803255</v>
      </c>
      <c r="S3" s="10">
        <f aca="true" t="shared" si="9" ref="S3:S32">R3/12</f>
        <v>0.038181651390027126</v>
      </c>
      <c r="T3" s="9">
        <f aca="true" t="shared" si="10" ref="T3:T32">(24-(Q3-P3))</f>
        <v>23.541820183319675</v>
      </c>
      <c r="U3" s="10">
        <f aca="true" t="shared" si="11" ref="U3:U32">"1:00:00"-S3+"1:00:00"</f>
        <v>0.0451516819433062</v>
      </c>
    </row>
    <row r="4" spans="1:21" ht="12.75">
      <c r="A4" s="5">
        <v>2</v>
      </c>
      <c r="B4" s="6" t="str">
        <f>October!B28</f>
        <v>Monday</v>
      </c>
      <c r="C4" s="59"/>
      <c r="D4" s="92" t="s">
        <v>20</v>
      </c>
      <c r="E4" s="8" t="s">
        <v>29</v>
      </c>
      <c r="F4" s="6" t="s">
        <v>93</v>
      </c>
      <c r="G4" s="142" t="s">
        <v>320</v>
      </c>
      <c r="H4" s="9">
        <f t="shared" si="0"/>
        <v>12.002739563855728</v>
      </c>
      <c r="I4" s="9">
        <f t="shared" si="1"/>
        <v>6.138460058284894</v>
      </c>
      <c r="J4" s="9">
        <f t="shared" si="2"/>
        <v>0.2741805527140582</v>
      </c>
      <c r="K4" s="9">
        <f t="shared" si="3"/>
        <v>0.3884600582848935</v>
      </c>
      <c r="L4" s="9">
        <f t="shared" si="4"/>
        <v>0.5027395638557288</v>
      </c>
      <c r="M4" s="9">
        <f t="shared" si="5"/>
        <v>0.6170190694265641</v>
      </c>
      <c r="N4" s="9">
        <f t="shared" si="6"/>
        <v>0.7312985749973995</v>
      </c>
      <c r="O4" s="9">
        <f t="shared" si="7"/>
        <v>0.8670190694265641</v>
      </c>
      <c r="P4" s="9">
        <f>sunrise(Location!$B$4,Location!$B$5,Location!$B$6,11,A4,Location!$B$7,IF(Location!$B$8="No",0,IF(OR(B4="Sunday",B4="Monday"),0,1)))</f>
        <v>0.2741805527140582</v>
      </c>
      <c r="Q4" s="9">
        <f>sunset(Location!$B$4,Location!$B$5,Location!$B$6,11,A4,Location!$B$7,IF(Location!$B$8="No",0,IF(OR(B4="Sunday",B4="Monday"),0,1)))</f>
        <v>0.7312985749973995</v>
      </c>
      <c r="R4" s="9">
        <f t="shared" si="8"/>
        <v>0.45711802228334125</v>
      </c>
      <c r="S4" s="10">
        <f t="shared" si="9"/>
        <v>0.03809316852361177</v>
      </c>
      <c r="T4" s="9">
        <f t="shared" si="10"/>
        <v>23.542881977716657</v>
      </c>
      <c r="U4" s="10">
        <f t="shared" si="11"/>
        <v>0.04524016480972156</v>
      </c>
    </row>
    <row r="5" spans="1:21" ht="12.75">
      <c r="A5" s="5">
        <v>3</v>
      </c>
      <c r="B5" s="6" t="str">
        <f>October!B29</f>
        <v>Tuesday</v>
      </c>
      <c r="C5" s="59"/>
      <c r="D5" s="7"/>
      <c r="E5" s="8" t="s">
        <v>32</v>
      </c>
      <c r="F5" s="6" t="s">
        <v>94</v>
      </c>
      <c r="G5" s="136"/>
      <c r="H5" s="9">
        <f t="shared" si="0"/>
        <v>12.002741786818024</v>
      </c>
      <c r="I5" s="9">
        <f t="shared" si="1"/>
        <v>6.138725152257077</v>
      </c>
      <c r="J5" s="9">
        <f t="shared" si="2"/>
        <v>0.27470851769612975</v>
      </c>
      <c r="K5" s="9">
        <f t="shared" si="3"/>
        <v>0.38872515225707693</v>
      </c>
      <c r="L5" s="9">
        <f t="shared" si="4"/>
        <v>0.5027417868180241</v>
      </c>
      <c r="M5" s="9">
        <f t="shared" si="5"/>
        <v>0.6167584213789712</v>
      </c>
      <c r="N5" s="9">
        <f t="shared" si="6"/>
        <v>0.7307750559399183</v>
      </c>
      <c r="O5" s="9">
        <f t="shared" si="7"/>
        <v>0.8667584213789712</v>
      </c>
      <c r="P5" s="9">
        <f>sunrise(Location!$B$4,Location!$B$5,Location!$B$6,11,A5,Location!$B$7,IF(Location!$B$8="No",0,IF(OR(B5="Sunday",B5="Monday",B5="Tuesday"),0,1)))</f>
        <v>0.27470851769612975</v>
      </c>
      <c r="Q5" s="9">
        <f>sunset(Location!$B$4,Location!$B$5,Location!$B$6,11,A5,Location!$B$7,IF(Location!$B$8="No",0,IF(OR(B5="Sunday",B5="Monday",B5="Tuesday"),0,1)))</f>
        <v>0.7307750559399183</v>
      </c>
      <c r="R5" s="9">
        <f t="shared" si="8"/>
        <v>0.45606653824378857</v>
      </c>
      <c r="S5" s="10">
        <f t="shared" si="9"/>
        <v>0.03800554485364905</v>
      </c>
      <c r="T5" s="9">
        <f t="shared" si="10"/>
        <v>23.54393346175621</v>
      </c>
      <c r="U5" s="10">
        <f t="shared" si="11"/>
        <v>0.04532778847968428</v>
      </c>
    </row>
    <row r="6" spans="1:21" ht="12.75">
      <c r="A6" s="5">
        <v>4</v>
      </c>
      <c r="B6" s="6" t="str">
        <f>October!B30</f>
        <v>Wednesday</v>
      </c>
      <c r="C6" s="59"/>
      <c r="D6" s="92" t="s">
        <v>23</v>
      </c>
      <c r="E6" s="8" t="s">
        <v>36</v>
      </c>
      <c r="F6" s="6" t="s">
        <v>27</v>
      </c>
      <c r="G6" s="136"/>
      <c r="H6" s="9">
        <f t="shared" si="0"/>
        <v>12.002753700436578</v>
      </c>
      <c r="I6" s="9">
        <f t="shared" si="1"/>
        <v>6.1389972540342725</v>
      </c>
      <c r="J6" s="9">
        <f t="shared" si="2"/>
        <v>0.2752408076319671</v>
      </c>
      <c r="K6" s="9">
        <f t="shared" si="3"/>
        <v>0.38899725403427293</v>
      </c>
      <c r="L6" s="9">
        <f t="shared" si="4"/>
        <v>0.5027537004365787</v>
      </c>
      <c r="M6" s="9">
        <f t="shared" si="5"/>
        <v>0.6165101468388846</v>
      </c>
      <c r="N6" s="9">
        <f t="shared" si="6"/>
        <v>0.7302665932411905</v>
      </c>
      <c r="O6" s="9">
        <f t="shared" si="7"/>
        <v>0.8665101468388846</v>
      </c>
      <c r="P6" s="9">
        <f>sunrise(Location!$B$4,Location!$B$5,Location!$B$6,11,A6,Location!$B$7,IF(Location!$B$8="No",0,IF(OR(B6="Sunday",B6="Monday",B6="Tuesday",B6="Wednesday"),0,1)))</f>
        <v>0.2752408076319671</v>
      </c>
      <c r="Q6" s="9">
        <f>sunset(Location!$B$4,Location!$B$5,Location!$B$6,11,A6,Location!$B$7,IF(Location!$B$8="No",0,IF(OR(B6="Sunday",B6="Monday",B6="Tuesday",B6="Wednesday"),0,1)))</f>
        <v>0.7302665932411905</v>
      </c>
      <c r="R6" s="9">
        <f t="shared" si="8"/>
        <v>0.45502578560922335</v>
      </c>
      <c r="S6" s="10">
        <f t="shared" si="9"/>
        <v>0.03791881546743528</v>
      </c>
      <c r="T6" s="9">
        <f t="shared" si="10"/>
        <v>23.544974214390777</v>
      </c>
      <c r="U6" s="10">
        <f t="shared" si="11"/>
        <v>0.04541451786589805</v>
      </c>
    </row>
    <row r="7" spans="1:21" ht="12.75">
      <c r="A7" s="5">
        <v>5</v>
      </c>
      <c r="B7" s="6" t="str">
        <f>October!B31</f>
        <v>Thursday</v>
      </c>
      <c r="C7" s="59"/>
      <c r="D7" s="92" t="s">
        <v>28</v>
      </c>
      <c r="E7" s="8" t="s">
        <v>17</v>
      </c>
      <c r="F7" s="6" t="s">
        <v>30</v>
      </c>
      <c r="G7" s="136"/>
      <c r="H7" s="9">
        <f t="shared" si="0"/>
        <v>12.002775382936292</v>
      </c>
      <c r="I7" s="9">
        <f t="shared" si="1"/>
        <v>6.139276334313505</v>
      </c>
      <c r="J7" s="9">
        <f t="shared" si="2"/>
        <v>0.2757772856907178</v>
      </c>
      <c r="K7" s="9">
        <f t="shared" si="3"/>
        <v>0.3892763343135049</v>
      </c>
      <c r="L7" s="9">
        <f t="shared" si="4"/>
        <v>0.502775382936292</v>
      </c>
      <c r="M7" s="9">
        <f t="shared" si="5"/>
        <v>0.616274431559079</v>
      </c>
      <c r="N7" s="9">
        <f t="shared" si="6"/>
        <v>0.729773480181866</v>
      </c>
      <c r="O7" s="9">
        <f t="shared" si="7"/>
        <v>0.8662744315590789</v>
      </c>
      <c r="P7" s="9">
        <f>sunrise(Location!$B$4,Location!$B$5,Location!$B$6,11,A7,Location!$B$7,IF(Location!$B$8="No",0,IF(OR(B7="Sunday",B7="Monday",B7="Tuesday",B7="Wednesday",B7="Thursday"),0,1)))</f>
        <v>0.2757772856907178</v>
      </c>
      <c r="Q7" s="9">
        <f>sunset(Location!$B$4,Location!$B$5,Location!$B$6,11,A7,Location!$B$7,IF(Location!$B$8="No",0,IF(OR(B7="Sunday",B7="Monday",B7="Tuesday",B7="Wednesday",B7="Thursday"),0,1)))</f>
        <v>0.729773480181866</v>
      </c>
      <c r="R7" s="9">
        <f t="shared" si="8"/>
        <v>0.45399619449114825</v>
      </c>
      <c r="S7" s="10">
        <f t="shared" si="9"/>
        <v>0.03783301620759569</v>
      </c>
      <c r="T7" s="9">
        <f t="shared" si="10"/>
        <v>23.546003805508853</v>
      </c>
      <c r="U7" s="10">
        <f t="shared" si="11"/>
        <v>0.04550031712573764</v>
      </c>
    </row>
    <row r="8" spans="1:21" ht="12.75">
      <c r="A8" s="5">
        <v>6</v>
      </c>
      <c r="B8" s="6" t="str">
        <f>October!B32</f>
        <v>Friday</v>
      </c>
      <c r="C8" s="59"/>
      <c r="D8" s="7"/>
      <c r="E8" s="8" t="s">
        <v>21</v>
      </c>
      <c r="F8" s="6" t="s">
        <v>95</v>
      </c>
      <c r="G8" s="136"/>
      <c r="H8" s="9">
        <f t="shared" si="0"/>
        <v>12.002806901889032</v>
      </c>
      <c r="I8" s="9">
        <f t="shared" si="1"/>
        <v>6.139562350918052</v>
      </c>
      <c r="J8" s="9">
        <f t="shared" si="2"/>
        <v>0.27631779994707084</v>
      </c>
      <c r="K8" s="9">
        <f t="shared" si="3"/>
        <v>0.3895623509180521</v>
      </c>
      <c r="L8" s="9">
        <f t="shared" si="4"/>
        <v>0.5028069018890333</v>
      </c>
      <c r="M8" s="9">
        <f t="shared" si="5"/>
        <v>0.6160514528600145</v>
      </c>
      <c r="N8" s="9">
        <f t="shared" si="6"/>
        <v>0.7292960038309957</v>
      </c>
      <c r="O8" s="9">
        <f t="shared" si="7"/>
        <v>0.8660514528600145</v>
      </c>
      <c r="P8" s="9">
        <f>sunrise(Location!$B$4,Location!$B$5,Location!$B$6,11,A8,Location!$B$7,IF(Location!$B$8="No",0,IF(OR(B8="Sunday",B8="Monday",B8="Tuesday",B8="Wednesday",B8="Thursday",B8="Friday"),0,1)))</f>
        <v>0.27631779994707084</v>
      </c>
      <c r="Q8" s="9">
        <f>sunset(Location!$B$4,Location!$B$5,Location!$B$6,11,A8,Location!$B$7,IF(Location!$B$8="No",0,IF(OR(B8="Sunday",B8="Monday",B8="Tuesday",B8="Wednesday",B8="Thursday",B8="Friday"),0,1)))</f>
        <v>0.7292960038309957</v>
      </c>
      <c r="R8" s="9">
        <f t="shared" si="8"/>
        <v>0.45297820388392485</v>
      </c>
      <c r="S8" s="10">
        <f t="shared" si="9"/>
        <v>0.037748183656993735</v>
      </c>
      <c r="T8" s="9">
        <f t="shared" si="10"/>
        <v>23.547021796116073</v>
      </c>
      <c r="U8" s="10">
        <f t="shared" si="11"/>
        <v>0.045585149676339594</v>
      </c>
    </row>
    <row r="9" spans="1:21" ht="12.75">
      <c r="A9" s="5">
        <v>7</v>
      </c>
      <c r="B9" s="6" t="str">
        <f>October!B33</f>
        <v>Saturday</v>
      </c>
      <c r="C9" s="59"/>
      <c r="D9" s="92" t="s">
        <v>35</v>
      </c>
      <c r="E9" s="8" t="s">
        <v>24</v>
      </c>
      <c r="F9" s="6" t="s">
        <v>96</v>
      </c>
      <c r="G9" s="140"/>
      <c r="H9" s="9">
        <f t="shared" si="0"/>
        <v>12.023681647240055</v>
      </c>
      <c r="I9" s="9">
        <f t="shared" si="1"/>
        <v>6.150271915213137</v>
      </c>
      <c r="J9" s="9">
        <f t="shared" si="2"/>
        <v>0.27686218318621925</v>
      </c>
      <c r="K9" s="9">
        <f t="shared" si="3"/>
        <v>0.400271915213137</v>
      </c>
      <c r="L9" s="9">
        <f t="shared" si="4"/>
        <v>0.5236816472400547</v>
      </c>
      <c r="M9" s="9">
        <f t="shared" si="5"/>
        <v>0.6470913792669726</v>
      </c>
      <c r="N9" s="9">
        <f t="shared" si="6"/>
        <v>0.7705011112938903</v>
      </c>
      <c r="O9" s="9">
        <f t="shared" si="7"/>
        <v>0.8970913792669726</v>
      </c>
      <c r="P9" s="9">
        <f>sunrise(Location!$B$4,Location!$B$5,Location!$B$6,11,A9,Location!$B$7,0)</f>
        <v>0.27686218318621925</v>
      </c>
      <c r="Q9" s="9">
        <f>sunset(Location!$B$4,Location!$B$5,Location!$B$6,11,A9,Location!$B$7,IF(Location!$B$8="No",0,1))</f>
        <v>0.7705011112938903</v>
      </c>
      <c r="R9" s="9">
        <f t="shared" si="8"/>
        <v>0.49363892810767107</v>
      </c>
      <c r="S9" s="10">
        <f t="shared" si="9"/>
        <v>0.04113657734230592</v>
      </c>
      <c r="T9" s="9">
        <f t="shared" si="10"/>
        <v>23.50636107189233</v>
      </c>
      <c r="U9" s="10">
        <f t="shared" si="11"/>
        <v>0.04219675599102741</v>
      </c>
    </row>
    <row r="10" spans="1:21" ht="12.75">
      <c r="A10" s="5">
        <v>8</v>
      </c>
      <c r="B10" s="6" t="str">
        <f aca="true" t="shared" si="12" ref="B10:B16">B3</f>
        <v>Sunday</v>
      </c>
      <c r="C10" s="59"/>
      <c r="D10" s="92" t="s">
        <v>38</v>
      </c>
      <c r="E10" s="8" t="s">
        <v>26</v>
      </c>
      <c r="F10" s="6" t="s">
        <v>97</v>
      </c>
      <c r="G10" s="138" t="s">
        <v>321</v>
      </c>
      <c r="H10" s="9">
        <f t="shared" si="0"/>
        <v>12.00289966435015</v>
      </c>
      <c r="I10" s="9">
        <f t="shared" si="1"/>
        <v>6.140154958546708</v>
      </c>
      <c r="J10" s="9">
        <f t="shared" si="2"/>
        <v>0.27741025274326675</v>
      </c>
      <c r="K10" s="9">
        <f t="shared" si="3"/>
        <v>0.39015495854670834</v>
      </c>
      <c r="L10" s="9">
        <f t="shared" si="4"/>
        <v>0.5028996643501499</v>
      </c>
      <c r="M10" s="9">
        <f t="shared" si="5"/>
        <v>0.6156443701535914</v>
      </c>
      <c r="N10" s="9">
        <f t="shared" si="6"/>
        <v>0.728389075957033</v>
      </c>
      <c r="O10" s="9">
        <f t="shared" si="7"/>
        <v>0.8656443701535914</v>
      </c>
      <c r="P10" s="9">
        <f>sunrise(Location!$B$4,Location!$B$5,Location!$B$6,11,A10,Location!$B$7,0)</f>
        <v>0.27741025274326675</v>
      </c>
      <c r="Q10" s="9">
        <f>sunset(Location!$B$4,Location!$B$5,Location!$B$6,11,A10,Location!$B$7,0)</f>
        <v>0.728389075957033</v>
      </c>
      <c r="R10" s="9">
        <f t="shared" si="8"/>
        <v>0.4509788232137662</v>
      </c>
      <c r="S10" s="10">
        <f t="shared" si="9"/>
        <v>0.03758156860114718</v>
      </c>
      <c r="T10" s="9">
        <f t="shared" si="10"/>
        <v>23.549021176786233</v>
      </c>
      <c r="U10" s="10">
        <f t="shared" si="11"/>
        <v>0.045751764732186145</v>
      </c>
    </row>
    <row r="11" spans="1:21" ht="12.75">
      <c r="A11" s="5">
        <v>9</v>
      </c>
      <c r="B11" s="6" t="str">
        <f t="shared" si="12"/>
        <v>Monday</v>
      </c>
      <c r="C11" s="59"/>
      <c r="D11" s="7"/>
      <c r="E11" s="8" t="s">
        <v>29</v>
      </c>
      <c r="F11" s="6" t="s">
        <v>98</v>
      </c>
      <c r="G11" s="136"/>
      <c r="H11" s="9">
        <f t="shared" si="0"/>
        <v>12.002960987052244</v>
      </c>
      <c r="I11" s="9">
        <f t="shared" si="1"/>
        <v>6.140461398716054</v>
      </c>
      <c r="J11" s="9">
        <f t="shared" si="2"/>
        <v>0.27796181037986456</v>
      </c>
      <c r="K11" s="9">
        <f t="shared" si="3"/>
        <v>0.3904613987160542</v>
      </c>
      <c r="L11" s="9">
        <f t="shared" si="4"/>
        <v>0.5029609870522438</v>
      </c>
      <c r="M11" s="9">
        <f t="shared" si="5"/>
        <v>0.6154605753884334</v>
      </c>
      <c r="N11" s="9">
        <f t="shared" si="6"/>
        <v>0.7279601637246229</v>
      </c>
      <c r="O11" s="9">
        <f t="shared" si="7"/>
        <v>0.8654605753884334</v>
      </c>
      <c r="P11" s="9">
        <f>sunrise(Location!$B$4,Location!$B$5,Location!$B$6,11,A11,Location!$B$7,0)</f>
        <v>0.27796181037986456</v>
      </c>
      <c r="Q11" s="9">
        <f>sunset(Location!$B$4,Location!$B$5,Location!$B$6,11,A11,Location!$B$7,0)</f>
        <v>0.7279601637246229</v>
      </c>
      <c r="R11" s="9">
        <f t="shared" si="8"/>
        <v>0.44999835334475835</v>
      </c>
      <c r="S11" s="10">
        <f t="shared" si="9"/>
        <v>0.03749986277872986</v>
      </c>
      <c r="T11" s="9">
        <f t="shared" si="10"/>
        <v>23.550001646655243</v>
      </c>
      <c r="U11" s="10">
        <f t="shared" si="11"/>
        <v>0.04583347055460347</v>
      </c>
    </row>
    <row r="12" spans="1:21" ht="12.75">
      <c r="A12" s="5">
        <v>10</v>
      </c>
      <c r="B12" s="6" t="str">
        <f t="shared" si="12"/>
        <v>Tuesday</v>
      </c>
      <c r="C12" s="59"/>
      <c r="D12" s="92" t="s">
        <v>40</v>
      </c>
      <c r="E12" s="8" t="s">
        <v>32</v>
      </c>
      <c r="F12" s="6" t="s">
        <v>99</v>
      </c>
      <c r="G12" s="136"/>
      <c r="H12" s="9">
        <f t="shared" si="0"/>
        <v>12.003032304056962</v>
      </c>
      <c r="I12" s="9">
        <f t="shared" si="1"/>
        <v>6.14077447312696</v>
      </c>
      <c r="J12" s="9">
        <f t="shared" si="2"/>
        <v>0.278516642196959</v>
      </c>
      <c r="K12" s="9">
        <f t="shared" si="3"/>
        <v>0.3907744731269608</v>
      </c>
      <c r="L12" s="9">
        <f t="shared" si="4"/>
        <v>0.5030323040569626</v>
      </c>
      <c r="M12" s="9">
        <f t="shared" si="5"/>
        <v>0.6152901349869645</v>
      </c>
      <c r="N12" s="9">
        <f t="shared" si="6"/>
        <v>0.7275479659169664</v>
      </c>
      <c r="O12" s="9">
        <f t="shared" si="7"/>
        <v>0.8652901349869645</v>
      </c>
      <c r="P12" s="9">
        <f>sunrise(Location!$B$4,Location!$B$5,Location!$B$6,11,A12,Location!$B$7,0)</f>
        <v>0.278516642196959</v>
      </c>
      <c r="Q12" s="9">
        <f>sunset(Location!$B$4,Location!$B$5,Location!$B$6,11,A12,Location!$B$7,0)</f>
        <v>0.7275479659169664</v>
      </c>
      <c r="R12" s="9">
        <f t="shared" si="8"/>
        <v>0.44903132372000737</v>
      </c>
      <c r="S12" s="10">
        <f t="shared" si="9"/>
        <v>0.03741927697666728</v>
      </c>
      <c r="T12" s="9">
        <f t="shared" si="10"/>
        <v>23.550968676279993</v>
      </c>
      <c r="U12" s="10">
        <f t="shared" si="11"/>
        <v>0.045914056356666046</v>
      </c>
    </row>
    <row r="13" spans="1:21" ht="12.75">
      <c r="A13" s="5">
        <v>11</v>
      </c>
      <c r="B13" s="6" t="str">
        <f t="shared" si="12"/>
        <v>Wednesday</v>
      </c>
      <c r="C13" s="59"/>
      <c r="D13" s="92" t="s">
        <v>42</v>
      </c>
      <c r="E13" s="8" t="s">
        <v>36</v>
      </c>
      <c r="F13" s="6" t="s">
        <v>101</v>
      </c>
      <c r="G13" s="45" t="s">
        <v>219</v>
      </c>
      <c r="H13" s="9">
        <f t="shared" si="0"/>
        <v>12.003113625376999</v>
      </c>
      <c r="I13" s="9">
        <f t="shared" si="1"/>
        <v>6.141094071983537</v>
      </c>
      <c r="J13" s="9">
        <f t="shared" si="2"/>
        <v>0.27907451859007537</v>
      </c>
      <c r="K13" s="9">
        <f t="shared" si="3"/>
        <v>0.39109407198353763</v>
      </c>
      <c r="L13" s="9">
        <f t="shared" si="4"/>
        <v>0.5031136253769999</v>
      </c>
      <c r="M13" s="9">
        <f t="shared" si="5"/>
        <v>0.6151331787704621</v>
      </c>
      <c r="N13" s="9">
        <f t="shared" si="6"/>
        <v>0.7271527321639244</v>
      </c>
      <c r="O13" s="9">
        <f t="shared" si="7"/>
        <v>0.8651331787704621</v>
      </c>
      <c r="P13" s="9">
        <f>sunrise(Location!$B$4,Location!$B$5,Location!$B$6,11,A13,Location!$B$7,0)</f>
        <v>0.27907451859007537</v>
      </c>
      <c r="Q13" s="9">
        <f>sunset(Location!$B$4,Location!$B$5,Location!$B$6,11,A13,Location!$B$7,0)</f>
        <v>0.7271527321639244</v>
      </c>
      <c r="R13" s="9">
        <f t="shared" si="8"/>
        <v>0.448078213573849</v>
      </c>
      <c r="S13" s="10">
        <f t="shared" si="9"/>
        <v>0.03733985113115409</v>
      </c>
      <c r="T13" s="9">
        <f t="shared" si="10"/>
        <v>23.55192178642615</v>
      </c>
      <c r="U13" s="10">
        <f t="shared" si="11"/>
        <v>0.04599348220217924</v>
      </c>
    </row>
    <row r="14" spans="1:21" ht="12.75">
      <c r="A14" s="5">
        <v>12</v>
      </c>
      <c r="B14" s="6" t="str">
        <f t="shared" si="12"/>
        <v>Thursday</v>
      </c>
      <c r="C14" s="59"/>
      <c r="D14" s="7"/>
      <c r="E14" s="8" t="s">
        <v>17</v>
      </c>
      <c r="F14" s="6" t="s">
        <v>46</v>
      </c>
      <c r="G14" s="136"/>
      <c r="H14" s="9">
        <f t="shared" si="0"/>
        <v>12.003204948768905</v>
      </c>
      <c r="I14" s="9">
        <f t="shared" si="1"/>
        <v>6.1414200715063325</v>
      </c>
      <c r="J14" s="9">
        <f t="shared" si="2"/>
        <v>0.27963519424375977</v>
      </c>
      <c r="K14" s="9">
        <f t="shared" si="3"/>
        <v>0.3914200715063326</v>
      </c>
      <c r="L14" s="9">
        <f t="shared" si="4"/>
        <v>0.5032049487689054</v>
      </c>
      <c r="M14" s="9">
        <f t="shared" si="5"/>
        <v>0.6149898260314783</v>
      </c>
      <c r="N14" s="9">
        <f t="shared" si="6"/>
        <v>0.7267747032940511</v>
      </c>
      <c r="O14" s="9">
        <f t="shared" si="7"/>
        <v>0.8649898260314783</v>
      </c>
      <c r="P14" s="9">
        <f>sunrise(Location!$B$4,Location!$B$5,Location!$B$6,11,A14,Location!$B$7,0)</f>
        <v>0.27963519424375977</v>
      </c>
      <c r="Q14" s="9">
        <f>sunset(Location!$B$4,Location!$B$5,Location!$B$6,11,A14,Location!$B$7,0)</f>
        <v>0.7267747032940511</v>
      </c>
      <c r="R14" s="9">
        <f t="shared" si="8"/>
        <v>0.4471395090502914</v>
      </c>
      <c r="S14" s="10">
        <f t="shared" si="9"/>
        <v>0.037261625754190945</v>
      </c>
      <c r="T14" s="9">
        <f t="shared" si="10"/>
        <v>23.55286049094971</v>
      </c>
      <c r="U14" s="10">
        <f t="shared" si="11"/>
        <v>0.04607170757914238</v>
      </c>
    </row>
    <row r="15" spans="1:21" ht="12.75">
      <c r="A15" s="5">
        <v>13</v>
      </c>
      <c r="B15" s="6" t="str">
        <f t="shared" si="12"/>
        <v>Friday</v>
      </c>
      <c r="C15" s="59"/>
      <c r="D15" s="92" t="s">
        <v>45</v>
      </c>
      <c r="E15" s="8" t="s">
        <v>21</v>
      </c>
      <c r="F15" s="6" t="s">
        <v>47</v>
      </c>
      <c r="G15" s="136"/>
      <c r="H15" s="9">
        <f t="shared" si="0"/>
        <v>12.003306259529165</v>
      </c>
      <c r="I15" s="9">
        <f t="shared" si="1"/>
        <v>6.1417523338502855</v>
      </c>
      <c r="J15" s="9">
        <f t="shared" si="2"/>
        <v>0.2801984081714069</v>
      </c>
      <c r="K15" s="9">
        <f t="shared" si="3"/>
        <v>0.3917523338502865</v>
      </c>
      <c r="L15" s="9">
        <f t="shared" si="4"/>
        <v>0.5033062595291661</v>
      </c>
      <c r="M15" s="9">
        <f t="shared" si="5"/>
        <v>0.6148601852080456</v>
      </c>
      <c r="N15" s="9">
        <f t="shared" si="6"/>
        <v>0.7264141108869252</v>
      </c>
      <c r="O15" s="9">
        <f t="shared" si="7"/>
        <v>0.8648601852080456</v>
      </c>
      <c r="P15" s="9">
        <f>sunrise(Location!$B$4,Location!$B$5,Location!$B$6,11,A15,Location!$B$7,0)</f>
        <v>0.2801984081714069</v>
      </c>
      <c r="Q15" s="9">
        <f>sunset(Location!$B$4,Location!$B$5,Location!$B$6,11,A15,Location!$B$7,0)</f>
        <v>0.7264141108869252</v>
      </c>
      <c r="R15" s="9">
        <f t="shared" si="8"/>
        <v>0.4462157027155183</v>
      </c>
      <c r="S15" s="10">
        <f t="shared" si="9"/>
        <v>0.037184641892959856</v>
      </c>
      <c r="T15" s="9">
        <f t="shared" si="10"/>
        <v>23.55378429728448</v>
      </c>
      <c r="U15" s="10">
        <f t="shared" si="11"/>
        <v>0.04614869144037347</v>
      </c>
    </row>
    <row r="16" spans="1:21" ht="12.75">
      <c r="A16" s="5">
        <v>14</v>
      </c>
      <c r="B16" s="6" t="str">
        <f t="shared" si="12"/>
        <v>Saturday</v>
      </c>
      <c r="C16" s="59"/>
      <c r="D16" s="7"/>
      <c r="E16" s="8" t="s">
        <v>24</v>
      </c>
      <c r="F16" s="6" t="s">
        <v>123</v>
      </c>
      <c r="G16" s="140"/>
      <c r="H16" s="9">
        <f t="shared" si="0"/>
        <v>12.00341753031077</v>
      </c>
      <c r="I16" s="9">
        <f t="shared" si="1"/>
        <v>6.142090707055215</v>
      </c>
      <c r="J16" s="9">
        <f t="shared" si="2"/>
        <v>0.2807638837996598</v>
      </c>
      <c r="K16" s="9">
        <f t="shared" si="3"/>
        <v>0.39209070705521504</v>
      </c>
      <c r="L16" s="9">
        <f t="shared" si="4"/>
        <v>0.5034175303107703</v>
      </c>
      <c r="M16" s="9">
        <f t="shared" si="5"/>
        <v>0.6147443535663255</v>
      </c>
      <c r="N16" s="9">
        <f t="shared" si="6"/>
        <v>0.7260711768218808</v>
      </c>
      <c r="O16" s="9">
        <f t="shared" si="7"/>
        <v>0.8647443535663255</v>
      </c>
      <c r="P16" s="9">
        <f>sunrise(Location!$B$4,Location!$B$5,Location!$B$6,11,A16,Location!$B$7,0)</f>
        <v>0.2807638837996598</v>
      </c>
      <c r="Q16" s="9">
        <f>sunset(Location!$B$4,Location!$B$5,Location!$B$6,11,A16,Location!$B$7,0)</f>
        <v>0.7260711768218808</v>
      </c>
      <c r="R16" s="9">
        <f t="shared" si="8"/>
        <v>0.44530729302222105</v>
      </c>
      <c r="S16" s="10">
        <f t="shared" si="9"/>
        <v>0.03710894108518509</v>
      </c>
      <c r="T16" s="9">
        <f t="shared" si="10"/>
        <v>23.55469270697778</v>
      </c>
      <c r="U16" s="10">
        <f t="shared" si="11"/>
        <v>0.04622439224814824</v>
      </c>
    </row>
    <row r="17" spans="1:21" ht="12.75">
      <c r="A17" s="5">
        <v>15</v>
      </c>
      <c r="B17" s="6" t="str">
        <f aca="true" t="shared" si="13" ref="B17:B23">B3</f>
        <v>Sunday</v>
      </c>
      <c r="C17" s="59"/>
      <c r="D17" s="92" t="s">
        <v>48</v>
      </c>
      <c r="E17" s="8" t="s">
        <v>26</v>
      </c>
      <c r="F17" s="6" t="s">
        <v>102</v>
      </c>
      <c r="G17" s="138" t="s">
        <v>322</v>
      </c>
      <c r="H17" s="9">
        <f t="shared" si="0"/>
        <v>12.003538720961371</v>
      </c>
      <c r="I17" s="9">
        <f t="shared" si="1"/>
        <v>6.142435025029092</v>
      </c>
      <c r="J17" s="9">
        <f t="shared" si="2"/>
        <v>0.2813313290968141</v>
      </c>
      <c r="K17" s="9">
        <f t="shared" si="3"/>
        <v>0.3924350250290929</v>
      </c>
      <c r="L17" s="9">
        <f t="shared" si="4"/>
        <v>0.5035387209613716</v>
      </c>
      <c r="M17" s="9">
        <f t="shared" si="5"/>
        <v>0.6146424168936504</v>
      </c>
      <c r="N17" s="9">
        <f t="shared" si="6"/>
        <v>0.7257461128259293</v>
      </c>
      <c r="O17" s="9">
        <f t="shared" si="7"/>
        <v>0.8646424168936504</v>
      </c>
      <c r="P17" s="9">
        <f>sunrise(Location!$B$4,Location!$B$5,Location!$B$6,11,A17,Location!$B$7,0)</f>
        <v>0.2813313290968141</v>
      </c>
      <c r="Q17" s="9">
        <f>sunset(Location!$B$4,Location!$B$5,Location!$B$6,11,A17,Location!$B$7,0)</f>
        <v>0.7257461128259293</v>
      </c>
      <c r="R17" s="9">
        <f t="shared" si="8"/>
        <v>0.4444147837291152</v>
      </c>
      <c r="S17" s="10">
        <f t="shared" si="9"/>
        <v>0.0370345653107596</v>
      </c>
      <c r="T17" s="9">
        <f t="shared" si="10"/>
        <v>23.555585216270885</v>
      </c>
      <c r="U17" s="10">
        <f t="shared" si="11"/>
        <v>0.04629876802257373</v>
      </c>
    </row>
    <row r="18" spans="1:21" ht="12.75">
      <c r="A18" s="5">
        <v>16</v>
      </c>
      <c r="B18" s="6" t="str">
        <f t="shared" si="13"/>
        <v>Monday</v>
      </c>
      <c r="C18" s="59"/>
      <c r="D18" s="92" t="s">
        <v>50</v>
      </c>
      <c r="E18" s="8" t="s">
        <v>29</v>
      </c>
      <c r="F18" s="6" t="s">
        <v>103</v>
      </c>
      <c r="G18" s="136"/>
      <c r="H18" s="9">
        <f t="shared" si="0"/>
        <v>12.003669778385047</v>
      </c>
      <c r="I18" s="9">
        <f t="shared" si="1"/>
        <v>6.142785107568351</v>
      </c>
      <c r="J18" s="9">
        <f t="shared" si="2"/>
        <v>0.28190043675165316</v>
      </c>
      <c r="K18" s="9">
        <f t="shared" si="3"/>
        <v>0.3927851075683503</v>
      </c>
      <c r="L18" s="9">
        <f t="shared" si="4"/>
        <v>0.5036697783850473</v>
      </c>
      <c r="M18" s="9">
        <f t="shared" si="5"/>
        <v>0.6145544492017444</v>
      </c>
      <c r="N18" s="9">
        <f t="shared" si="6"/>
        <v>0.7254391200184415</v>
      </c>
      <c r="O18" s="9">
        <f t="shared" si="7"/>
        <v>0.8645544492017444</v>
      </c>
      <c r="P18" s="9">
        <f>sunrise(Location!$B$4,Location!$B$5,Location!$B$6,11,A18,Location!$B$7,0)</f>
        <v>0.28190043675165316</v>
      </c>
      <c r="Q18" s="9">
        <f>sunset(Location!$B$4,Location!$B$5,Location!$B$6,11,A18,Location!$B$7,0)</f>
        <v>0.7254391200184415</v>
      </c>
      <c r="R18" s="9">
        <f t="shared" si="8"/>
        <v>0.4435386832667883</v>
      </c>
      <c r="S18" s="10">
        <f t="shared" si="9"/>
        <v>0.03696155693889903</v>
      </c>
      <c r="T18" s="9">
        <f t="shared" si="10"/>
        <v>23.556461316733213</v>
      </c>
      <c r="U18" s="10">
        <f t="shared" si="11"/>
        <v>0.0463717763944343</v>
      </c>
    </row>
    <row r="19" spans="1:21" ht="12.75">
      <c r="A19" s="5">
        <v>17</v>
      </c>
      <c r="B19" s="6" t="str">
        <f t="shared" si="13"/>
        <v>Tuesday</v>
      </c>
      <c r="C19" s="59"/>
      <c r="D19" s="7"/>
      <c r="E19" s="8" t="s">
        <v>32</v>
      </c>
      <c r="F19" s="6" t="s">
        <v>105</v>
      </c>
      <c r="G19" s="136"/>
      <c r="H19" s="9">
        <f t="shared" si="0"/>
        <v>12.003810636428202</v>
      </c>
      <c r="I19" s="9">
        <f t="shared" si="1"/>
        <v>6.143140760413436</v>
      </c>
      <c r="J19" s="9">
        <f t="shared" si="2"/>
        <v>0.2824708843986701</v>
      </c>
      <c r="K19" s="9">
        <f t="shared" si="3"/>
        <v>0.3931407604134356</v>
      </c>
      <c r="L19" s="9">
        <f t="shared" si="4"/>
        <v>0.5038106364282011</v>
      </c>
      <c r="M19" s="9">
        <f t="shared" si="5"/>
        <v>0.6144805124429666</v>
      </c>
      <c r="N19" s="9">
        <f t="shared" si="6"/>
        <v>0.7251503884577323</v>
      </c>
      <c r="O19" s="9">
        <f t="shared" si="7"/>
        <v>0.8644805124429668</v>
      </c>
      <c r="P19" s="9">
        <f>sunrise(Location!$B$4,Location!$B$5,Location!$B$6,11,A19,Location!$B$7,0)</f>
        <v>0.2824708843986701</v>
      </c>
      <c r="Q19" s="9">
        <f>sunset(Location!$B$4,Location!$B$5,Location!$B$6,11,A19,Location!$B$7,0)</f>
        <v>0.7251503884577323</v>
      </c>
      <c r="R19" s="9">
        <f t="shared" si="8"/>
        <v>0.4426795040590622</v>
      </c>
      <c r="S19" s="10">
        <f t="shared" si="9"/>
        <v>0.036889958671588514</v>
      </c>
      <c r="T19" s="9">
        <f t="shared" si="10"/>
        <v>23.55732049594094</v>
      </c>
      <c r="U19" s="10">
        <f t="shared" si="11"/>
        <v>0.046443374661744814</v>
      </c>
    </row>
    <row r="20" spans="1:21" ht="12.75">
      <c r="A20" s="5">
        <v>18</v>
      </c>
      <c r="B20" s="6" t="str">
        <f t="shared" si="13"/>
        <v>Wednesday</v>
      </c>
      <c r="C20" s="59"/>
      <c r="D20" s="92" t="s">
        <v>53</v>
      </c>
      <c r="E20" s="8" t="s">
        <v>36</v>
      </c>
      <c r="F20" s="6" t="s">
        <v>107</v>
      </c>
      <c r="G20" s="136"/>
      <c r="H20" s="9">
        <f t="shared" si="0"/>
        <v>12.00396121578912</v>
      </c>
      <c r="I20" s="9">
        <f t="shared" si="1"/>
        <v>6.143501775340697</v>
      </c>
      <c r="J20" s="9">
        <f t="shared" si="2"/>
        <v>0.28304233489227454</v>
      </c>
      <c r="K20" s="9">
        <f t="shared" si="3"/>
        <v>0.3935017753406975</v>
      </c>
      <c r="L20" s="9">
        <f t="shared" si="4"/>
        <v>0.5039612157891206</v>
      </c>
      <c r="M20" s="9">
        <f t="shared" si="5"/>
        <v>0.6144206562375436</v>
      </c>
      <c r="N20" s="9">
        <f t="shared" si="6"/>
        <v>0.7248800966859665</v>
      </c>
      <c r="O20" s="9">
        <f t="shared" si="7"/>
        <v>0.8644206562375435</v>
      </c>
      <c r="P20" s="9">
        <f>sunrise(Location!$B$4,Location!$B$5,Location!$B$6,11,A20,Location!$B$7,0)</f>
        <v>0.28304233489227454</v>
      </c>
      <c r="Q20" s="9">
        <f>sunset(Location!$B$4,Location!$B$5,Location!$B$6,11,A20,Location!$B$7,0)</f>
        <v>0.7248800966859665</v>
      </c>
      <c r="R20" s="9">
        <f t="shared" si="8"/>
        <v>0.441837761793692</v>
      </c>
      <c r="S20" s="10">
        <f t="shared" si="9"/>
        <v>0.03681981348280767</v>
      </c>
      <c r="T20" s="9">
        <f t="shared" si="10"/>
        <v>23.558162238206307</v>
      </c>
      <c r="U20" s="10">
        <f t="shared" si="11"/>
        <v>0.04651351985052566</v>
      </c>
    </row>
    <row r="21" spans="1:21" ht="12.75">
      <c r="A21" s="5">
        <v>19</v>
      </c>
      <c r="B21" s="6" t="str">
        <f t="shared" si="13"/>
        <v>Thursday</v>
      </c>
      <c r="C21" s="59"/>
      <c r="D21" s="92" t="s">
        <v>55</v>
      </c>
      <c r="E21" s="8" t="s">
        <v>17</v>
      </c>
      <c r="F21" s="6" t="s">
        <v>108</v>
      </c>
      <c r="G21" s="136"/>
      <c r="H21" s="9">
        <f t="shared" si="0"/>
        <v>12.004121423954496</v>
      </c>
      <c r="I21" s="9">
        <f t="shared" si="1"/>
        <v>6.1438679302930455</v>
      </c>
      <c r="J21" s="9">
        <f t="shared" si="2"/>
        <v>0.2836144366315944</v>
      </c>
      <c r="K21" s="9">
        <f t="shared" si="3"/>
        <v>0.39386793029304445</v>
      </c>
      <c r="L21" s="9">
        <f t="shared" si="4"/>
        <v>0.5041214239544944</v>
      </c>
      <c r="M21" s="9">
        <f t="shared" si="5"/>
        <v>0.6143749176159445</v>
      </c>
      <c r="N21" s="9">
        <f t="shared" si="6"/>
        <v>0.7246284112773945</v>
      </c>
      <c r="O21" s="9">
        <f t="shared" si="7"/>
        <v>0.8643749176159445</v>
      </c>
      <c r="P21" s="9">
        <f>sunrise(Location!$B$4,Location!$B$5,Location!$B$6,11,A21,Location!$B$7,0)</f>
        <v>0.2836144366315944</v>
      </c>
      <c r="Q21" s="9">
        <f>sunset(Location!$B$4,Location!$B$5,Location!$B$6,11,A21,Location!$B$7,0)</f>
        <v>0.7246284112773945</v>
      </c>
      <c r="R21" s="9">
        <f t="shared" si="8"/>
        <v>0.4410139746458001</v>
      </c>
      <c r="S21" s="10">
        <f t="shared" si="9"/>
        <v>0.036751164553816676</v>
      </c>
      <c r="T21" s="9">
        <f t="shared" si="10"/>
        <v>23.5589860253542</v>
      </c>
      <c r="U21" s="10">
        <f t="shared" si="11"/>
        <v>0.04658216877951665</v>
      </c>
    </row>
    <row r="22" spans="1:21" ht="12.75">
      <c r="A22" s="5">
        <v>20</v>
      </c>
      <c r="B22" s="6" t="str">
        <f t="shared" si="13"/>
        <v>Friday</v>
      </c>
      <c r="C22" s="59"/>
      <c r="D22" s="7"/>
      <c r="E22" s="8" t="s">
        <v>21</v>
      </c>
      <c r="F22" s="6" t="s">
        <v>110</v>
      </c>
      <c r="G22" s="46" t="s">
        <v>149</v>
      </c>
      <c r="H22" s="9">
        <f t="shared" si="0"/>
        <v>12.00429115516064</v>
      </c>
      <c r="I22" s="9">
        <f t="shared" si="1"/>
        <v>6.14423898954695</v>
      </c>
      <c r="J22" s="9">
        <f t="shared" si="2"/>
        <v>0.2841868239332598</v>
      </c>
      <c r="K22" s="9">
        <f t="shared" si="3"/>
        <v>0.39423898954695064</v>
      </c>
      <c r="L22" s="9">
        <f t="shared" si="4"/>
        <v>0.5042911551606415</v>
      </c>
      <c r="M22" s="9">
        <f t="shared" si="5"/>
        <v>0.6143433207743323</v>
      </c>
      <c r="N22" s="9">
        <f t="shared" si="6"/>
        <v>0.7243954863880231</v>
      </c>
      <c r="O22" s="9">
        <f t="shared" si="7"/>
        <v>0.8643433207743323</v>
      </c>
      <c r="P22" s="9">
        <f>sunrise(Location!$B$4,Location!$B$5,Location!$B$6,11,A22,Location!$B$7,0)</f>
        <v>0.2841868239332598</v>
      </c>
      <c r="Q22" s="9">
        <f>sunset(Location!$B$4,Location!$B$5,Location!$B$6,11,A22,Location!$B$7,0)</f>
        <v>0.7243954863880231</v>
      </c>
      <c r="R22" s="9">
        <f t="shared" si="8"/>
        <v>0.4402086624547633</v>
      </c>
      <c r="S22" s="10">
        <f t="shared" si="9"/>
        <v>0.03668405520456361</v>
      </c>
      <c r="T22" s="9">
        <f t="shared" si="10"/>
        <v>23.559791337545235</v>
      </c>
      <c r="U22" s="10">
        <f t="shared" si="11"/>
        <v>0.04664927812876972</v>
      </c>
    </row>
    <row r="23" spans="1:21" ht="12.75">
      <c r="A23" s="5">
        <v>21</v>
      </c>
      <c r="B23" s="6" t="str">
        <f t="shared" si="13"/>
        <v>Saturday</v>
      </c>
      <c r="C23" s="59"/>
      <c r="D23" s="92" t="s">
        <v>59</v>
      </c>
      <c r="E23" s="8" t="s">
        <v>24</v>
      </c>
      <c r="F23" s="6" t="s">
        <v>111</v>
      </c>
      <c r="G23" s="140"/>
      <c r="H23" s="9">
        <f t="shared" si="0"/>
        <v>12.004470290384067</v>
      </c>
      <c r="I23" s="9">
        <f t="shared" si="1"/>
        <v>6.144614703920817</v>
      </c>
      <c r="J23" s="9">
        <f t="shared" si="2"/>
        <v>0.284759117457568</v>
      </c>
      <c r="K23" s="9">
        <f t="shared" si="3"/>
        <v>0.39461470392081727</v>
      </c>
      <c r="L23" s="9">
        <f t="shared" si="4"/>
        <v>0.5044702903840665</v>
      </c>
      <c r="M23" s="9">
        <f t="shared" si="5"/>
        <v>0.6143258768473159</v>
      </c>
      <c r="N23" s="9">
        <f t="shared" si="6"/>
        <v>0.7241814633105651</v>
      </c>
      <c r="O23" s="9">
        <f t="shared" si="7"/>
        <v>0.8643258768473158</v>
      </c>
      <c r="P23" s="9">
        <f>sunrise(Location!$B$4,Location!$B$5,Location!$B$6,11,A23,Location!$B$7,0)</f>
        <v>0.284759117457568</v>
      </c>
      <c r="Q23" s="9">
        <f>sunset(Location!$B$4,Location!$B$5,Location!$B$6,11,A23,Location!$B$7,0)</f>
        <v>0.7241814633105651</v>
      </c>
      <c r="R23" s="9">
        <f t="shared" si="8"/>
        <v>0.4394223458529971</v>
      </c>
      <c r="S23" s="10">
        <f t="shared" si="9"/>
        <v>0.036618528821083095</v>
      </c>
      <c r="T23" s="9">
        <f t="shared" si="10"/>
        <v>23.560577654147004</v>
      </c>
      <c r="U23" s="10">
        <f t="shared" si="11"/>
        <v>0.046714804512250234</v>
      </c>
    </row>
    <row r="24" spans="1:21" ht="12.75">
      <c r="A24" s="5">
        <v>22</v>
      </c>
      <c r="B24" s="6" t="str">
        <f aca="true" t="shared" si="14" ref="B24:B30">B3</f>
        <v>Sunday</v>
      </c>
      <c r="C24" s="59"/>
      <c r="D24" s="92" t="s">
        <v>61</v>
      </c>
      <c r="E24" s="8" t="s">
        <v>26</v>
      </c>
      <c r="F24" s="6" t="s">
        <v>112</v>
      </c>
      <c r="G24" s="138" t="s">
        <v>333</v>
      </c>
      <c r="H24" s="9">
        <f t="shared" si="0"/>
        <v>12.004658697356758</v>
      </c>
      <c r="I24" s="9">
        <f t="shared" si="1"/>
        <v>6.144994811018441</v>
      </c>
      <c r="J24" s="9">
        <f t="shared" si="2"/>
        <v>0.2853309246801245</v>
      </c>
      <c r="K24" s="9">
        <f t="shared" si="3"/>
        <v>0.39499481101844125</v>
      </c>
      <c r="L24" s="9">
        <f t="shared" si="4"/>
        <v>0.504658697356758</v>
      </c>
      <c r="M24" s="9">
        <f t="shared" si="5"/>
        <v>0.6143225836950746</v>
      </c>
      <c r="N24" s="9">
        <f t="shared" si="6"/>
        <v>0.7239864700333913</v>
      </c>
      <c r="O24" s="9">
        <f t="shared" si="7"/>
        <v>0.8643225836950746</v>
      </c>
      <c r="P24" s="9">
        <f>sunrise(Location!$B$4,Location!$B$5,Location!$B$6,11,A24,Location!$B$7,0)</f>
        <v>0.2853309246801245</v>
      </c>
      <c r="Q24" s="9">
        <f>sunset(Location!$B$4,Location!$B$5,Location!$B$6,11,A24,Location!$B$7,0)</f>
        <v>0.7239864700333913</v>
      </c>
      <c r="R24" s="9">
        <f t="shared" si="8"/>
        <v>0.43865554535326684</v>
      </c>
      <c r="S24" s="10">
        <f t="shared" si="9"/>
        <v>0.0365546287794389</v>
      </c>
      <c r="T24" s="9">
        <f t="shared" si="10"/>
        <v>23.561344454646733</v>
      </c>
      <c r="U24" s="10">
        <f t="shared" si="11"/>
        <v>0.04677870455389443</v>
      </c>
    </row>
    <row r="25" spans="1:21" ht="12.75">
      <c r="A25" s="5">
        <v>23</v>
      </c>
      <c r="B25" s="6" t="str">
        <f t="shared" si="14"/>
        <v>Monday</v>
      </c>
      <c r="C25" s="59"/>
      <c r="D25" s="7"/>
      <c r="E25" s="8" t="s">
        <v>29</v>
      </c>
      <c r="F25" s="6" t="s">
        <v>113</v>
      </c>
      <c r="G25" s="136"/>
      <c r="H25" s="9">
        <f t="shared" si="0"/>
        <v>12.004856230611438</v>
      </c>
      <c r="I25" s="9">
        <f t="shared" si="1"/>
        <v>6.145379035513708</v>
      </c>
      <c r="J25" s="9">
        <f t="shared" si="2"/>
        <v>0.28590184041597827</v>
      </c>
      <c r="K25" s="9">
        <f t="shared" si="3"/>
        <v>0.3953790355137081</v>
      </c>
      <c r="L25" s="9">
        <f t="shared" si="4"/>
        <v>0.5048562306114379</v>
      </c>
      <c r="M25" s="9">
        <f t="shared" si="5"/>
        <v>0.6143334257091677</v>
      </c>
      <c r="N25" s="9">
        <f t="shared" si="6"/>
        <v>0.7238106208068975</v>
      </c>
      <c r="O25" s="9">
        <f t="shared" si="7"/>
        <v>0.8643334257091677</v>
      </c>
      <c r="P25" s="9">
        <f>sunrise(Location!$B$4,Location!$B$5,Location!$B$6,11,A25,Location!$B$7,0)</f>
        <v>0.28590184041597827</v>
      </c>
      <c r="Q25" s="9">
        <f>sunset(Location!$B$4,Location!$B$5,Location!$B$6,11,A25,Location!$B$7,0)</f>
        <v>0.7238106208068975</v>
      </c>
      <c r="R25" s="9">
        <f t="shared" si="8"/>
        <v>0.43790878039091924</v>
      </c>
      <c r="S25" s="10">
        <f t="shared" si="9"/>
        <v>0.03649239836590994</v>
      </c>
      <c r="T25" s="9">
        <f t="shared" si="10"/>
        <v>23.56209121960908</v>
      </c>
      <c r="U25" s="10">
        <f t="shared" si="11"/>
        <v>0.04684093496742339</v>
      </c>
    </row>
    <row r="26" spans="1:21" ht="12.75">
      <c r="A26" s="5">
        <v>24</v>
      </c>
      <c r="B26" s="6" t="str">
        <f t="shared" si="14"/>
        <v>Tuesday</v>
      </c>
      <c r="C26" s="59"/>
      <c r="D26" s="92" t="s">
        <v>64</v>
      </c>
      <c r="E26" s="8" t="s">
        <v>32</v>
      </c>
      <c r="F26" s="6" t="s">
        <v>114</v>
      </c>
      <c r="G26" s="136"/>
      <c r="H26" s="9">
        <f t="shared" si="0"/>
        <v>12.005062731554835</v>
      </c>
      <c r="I26" s="9">
        <f t="shared" si="1"/>
        <v>6.145767089473184</v>
      </c>
      <c r="J26" s="9">
        <f t="shared" si="2"/>
        <v>0.2864714473915329</v>
      </c>
      <c r="K26" s="9">
        <f t="shared" si="3"/>
        <v>0.3957670894731843</v>
      </c>
      <c r="L26" s="9">
        <f t="shared" si="4"/>
        <v>0.5050627315548357</v>
      </c>
      <c r="M26" s="9">
        <f t="shared" si="5"/>
        <v>0.614358373636487</v>
      </c>
      <c r="N26" s="9">
        <f t="shared" si="6"/>
        <v>0.7236540157181385</v>
      </c>
      <c r="O26" s="9">
        <f t="shared" si="7"/>
        <v>0.864358373636487</v>
      </c>
      <c r="P26" s="9">
        <f>sunrise(Location!$B$4,Location!$B$5,Location!$B$6,11,A26,Location!$B$7,0)</f>
        <v>0.2864714473915329</v>
      </c>
      <c r="Q26" s="9">
        <f>sunset(Location!$B$4,Location!$B$5,Location!$B$6,11,A26,Location!$B$7,0)</f>
        <v>0.7236540157181385</v>
      </c>
      <c r="R26" s="9">
        <f t="shared" si="8"/>
        <v>0.43718256832660557</v>
      </c>
      <c r="S26" s="10">
        <f t="shared" si="9"/>
        <v>0.0364318806938838</v>
      </c>
      <c r="T26" s="9">
        <f t="shared" si="10"/>
        <v>23.562817431673395</v>
      </c>
      <c r="U26" s="10">
        <f t="shared" si="11"/>
        <v>0.04690145263944953</v>
      </c>
    </row>
    <row r="27" spans="1:21" ht="12.75">
      <c r="A27" s="5">
        <v>25</v>
      </c>
      <c r="B27" s="6" t="str">
        <f t="shared" si="14"/>
        <v>Wednesday</v>
      </c>
      <c r="C27" s="59"/>
      <c r="D27" s="92" t="s">
        <v>67</v>
      </c>
      <c r="E27" s="8" t="s">
        <v>36</v>
      </c>
      <c r="F27" s="6" t="s">
        <v>116</v>
      </c>
      <c r="G27" s="136"/>
      <c r="H27" s="9">
        <f t="shared" si="0"/>
        <v>12.00527802856867</v>
      </c>
      <c r="I27" s="9">
        <f t="shared" si="1"/>
        <v>6.146158672715696</v>
      </c>
      <c r="J27" s="9">
        <f t="shared" si="2"/>
        <v>0.28703931686272344</v>
      </c>
      <c r="K27" s="9">
        <f t="shared" si="3"/>
        <v>0.39615867271569627</v>
      </c>
      <c r="L27" s="9">
        <f t="shared" si="4"/>
        <v>0.5052780285686691</v>
      </c>
      <c r="M27" s="9">
        <f t="shared" si="5"/>
        <v>0.6143973844216419</v>
      </c>
      <c r="N27" s="9">
        <f t="shared" si="6"/>
        <v>0.7235167402746148</v>
      </c>
      <c r="O27" s="9">
        <f t="shared" si="7"/>
        <v>0.8643973844216419</v>
      </c>
      <c r="P27" s="9">
        <f>sunrise(Location!$B$4,Location!$B$5,Location!$B$6,11,A27,Location!$B$7,0)</f>
        <v>0.28703931686272344</v>
      </c>
      <c r="Q27" s="9">
        <f>sunset(Location!$B$4,Location!$B$5,Location!$B$6,11,A27,Location!$B$7,0)</f>
        <v>0.7235167402746148</v>
      </c>
      <c r="R27" s="9">
        <f t="shared" si="8"/>
        <v>0.43647742341189133</v>
      </c>
      <c r="S27" s="10">
        <f t="shared" si="9"/>
        <v>0.03637311861765761</v>
      </c>
      <c r="T27" s="9">
        <f t="shared" si="10"/>
        <v>23.56352257658811</v>
      </c>
      <c r="U27" s="10">
        <f t="shared" si="11"/>
        <v>0.04696021471567572</v>
      </c>
    </row>
    <row r="28" spans="1:21" ht="12.75">
      <c r="A28" s="5">
        <v>26</v>
      </c>
      <c r="B28" s="6" t="str">
        <f t="shared" si="14"/>
        <v>Thursday</v>
      </c>
      <c r="C28" s="59"/>
      <c r="D28" s="92" t="s">
        <v>69</v>
      </c>
      <c r="E28" s="8" t="s">
        <v>17</v>
      </c>
      <c r="F28" s="6" t="s">
        <v>117</v>
      </c>
      <c r="G28" s="136"/>
      <c r="H28" s="9">
        <f t="shared" si="0"/>
        <v>12.005501937140926</v>
      </c>
      <c r="I28" s="9">
        <f t="shared" si="1"/>
        <v>6.146553473211281</v>
      </c>
      <c r="J28" s="9">
        <f t="shared" si="2"/>
        <v>0.28760500928163607</v>
      </c>
      <c r="K28" s="9">
        <f t="shared" si="3"/>
        <v>0.3965534732112813</v>
      </c>
      <c r="L28" s="9">
        <f t="shared" si="4"/>
        <v>0.5055019371409266</v>
      </c>
      <c r="M28" s="9">
        <f t="shared" si="5"/>
        <v>0.6144504010705719</v>
      </c>
      <c r="N28" s="9">
        <f t="shared" si="6"/>
        <v>0.7233988650002172</v>
      </c>
      <c r="O28" s="9">
        <f t="shared" si="7"/>
        <v>0.8644504010705719</v>
      </c>
      <c r="P28" s="9">
        <f>sunrise(Location!$B$4,Location!$B$5,Location!$B$6,11,A28,Location!$B$7,0)</f>
        <v>0.28760500928163607</v>
      </c>
      <c r="Q28" s="9">
        <f>sunset(Location!$B$4,Location!$B$5,Location!$B$6,11,A28,Location!$B$7,0)</f>
        <v>0.7233988650002172</v>
      </c>
      <c r="R28" s="9">
        <f t="shared" si="8"/>
        <v>0.43579385571858115</v>
      </c>
      <c r="S28" s="10">
        <f t="shared" si="9"/>
        <v>0.036316154643215096</v>
      </c>
      <c r="T28" s="9">
        <f t="shared" si="10"/>
        <v>23.564206144281417</v>
      </c>
      <c r="U28" s="10">
        <f t="shared" si="11"/>
        <v>0.04701717869011823</v>
      </c>
    </row>
    <row r="29" spans="1:21" ht="12.75">
      <c r="A29" s="5">
        <v>27</v>
      </c>
      <c r="B29" s="6" t="str">
        <f t="shared" si="14"/>
        <v>Friday</v>
      </c>
      <c r="C29" s="59"/>
      <c r="D29" s="7"/>
      <c r="E29" s="8" t="s">
        <v>21</v>
      </c>
      <c r="F29" s="6" t="s">
        <v>118</v>
      </c>
      <c r="G29" s="136"/>
      <c r="H29" s="9">
        <f t="shared" si="0"/>
        <v>12.005734260025648</v>
      </c>
      <c r="I29" s="9">
        <f t="shared" si="1"/>
        <v>6.146951167516364</v>
      </c>
      <c r="J29" s="9">
        <f t="shared" si="2"/>
        <v>0.28816807500708114</v>
      </c>
      <c r="K29" s="9">
        <f t="shared" si="3"/>
        <v>0.39695116751636406</v>
      </c>
      <c r="L29" s="9">
        <f t="shared" si="4"/>
        <v>0.5057342600256469</v>
      </c>
      <c r="M29" s="9">
        <f t="shared" si="5"/>
        <v>0.6145173525349298</v>
      </c>
      <c r="N29" s="9">
        <f t="shared" si="6"/>
        <v>0.7233004450442126</v>
      </c>
      <c r="O29" s="9">
        <f t="shared" si="7"/>
        <v>0.8645173525349298</v>
      </c>
      <c r="P29" s="9">
        <f>sunrise(Location!$B$4,Location!$B$5,Location!$B$6,11,A29,Location!$B$7,0)</f>
        <v>0.28816807500708114</v>
      </c>
      <c r="Q29" s="9">
        <f>sunset(Location!$B$4,Location!$B$5,Location!$B$6,11,A29,Location!$B$7,0)</f>
        <v>0.7233004450442126</v>
      </c>
      <c r="R29" s="9">
        <f t="shared" si="8"/>
        <v>0.4351323700371315</v>
      </c>
      <c r="S29" s="10">
        <f t="shared" si="9"/>
        <v>0.03626103083642763</v>
      </c>
      <c r="T29" s="9">
        <f t="shared" si="10"/>
        <v>23.56486762996287</v>
      </c>
      <c r="U29" s="10">
        <f t="shared" si="11"/>
        <v>0.0470723024969057</v>
      </c>
    </row>
    <row r="30" spans="1:21" ht="12.75">
      <c r="A30" s="5">
        <v>28</v>
      </c>
      <c r="B30" s="6" t="str">
        <f t="shared" si="14"/>
        <v>Saturday</v>
      </c>
      <c r="C30" s="59"/>
      <c r="D30" s="92" t="s">
        <v>72</v>
      </c>
      <c r="E30" s="8" t="s">
        <v>24</v>
      </c>
      <c r="F30" s="6" t="s">
        <v>119</v>
      </c>
      <c r="G30" s="140"/>
      <c r="H30" s="9">
        <f t="shared" si="0"/>
        <v>12.00597478743126</v>
      </c>
      <c r="I30" s="9">
        <f t="shared" si="1"/>
        <v>6.147351421244283</v>
      </c>
      <c r="J30" s="9">
        <f t="shared" si="2"/>
        <v>0.288728055057306</v>
      </c>
      <c r="K30" s="9">
        <f t="shared" si="3"/>
        <v>0.39735142124428313</v>
      </c>
      <c r="L30" s="9">
        <f t="shared" si="4"/>
        <v>0.5059747874312603</v>
      </c>
      <c r="M30" s="9">
        <f t="shared" si="5"/>
        <v>0.6145981536182374</v>
      </c>
      <c r="N30" s="9">
        <f t="shared" si="6"/>
        <v>0.7232215198052147</v>
      </c>
      <c r="O30" s="9">
        <f t="shared" si="7"/>
        <v>0.8645981536182374</v>
      </c>
      <c r="P30" s="9">
        <f>sunrise(Location!$B$4,Location!$B$5,Location!$B$6,11,A30,Location!$B$7,0)</f>
        <v>0.288728055057306</v>
      </c>
      <c r="Q30" s="9">
        <f>sunset(Location!$B$4,Location!$B$5,Location!$B$6,11,A30,Location!$B$7,0)</f>
        <v>0.7232215198052147</v>
      </c>
      <c r="R30" s="9">
        <f t="shared" si="8"/>
        <v>0.4344934647479087</v>
      </c>
      <c r="S30" s="10">
        <f t="shared" si="9"/>
        <v>0.03620778872899239</v>
      </c>
      <c r="T30" s="9">
        <f t="shared" si="10"/>
        <v>23.56550653525209</v>
      </c>
      <c r="U30" s="10">
        <f t="shared" si="11"/>
        <v>0.04712554460434094</v>
      </c>
    </row>
    <row r="31" spans="1:21" ht="12.75">
      <c r="A31" s="5">
        <v>29</v>
      </c>
      <c r="B31" s="6" t="str">
        <f>B3</f>
        <v>Sunday</v>
      </c>
      <c r="C31" s="59"/>
      <c r="D31" s="92" t="s">
        <v>75</v>
      </c>
      <c r="E31" s="8" t="s">
        <v>26</v>
      </c>
      <c r="F31" s="6" t="s">
        <v>120</v>
      </c>
      <c r="G31" s="143" t="s">
        <v>323</v>
      </c>
      <c r="H31" s="9">
        <f t="shared" si="0"/>
        <v>12.006223297238533</v>
      </c>
      <c r="I31" s="9">
        <f t="shared" si="1"/>
        <v>6.147753889571543</v>
      </c>
      <c r="J31" s="9">
        <f t="shared" si="2"/>
        <v>0.2892844819045546</v>
      </c>
      <c r="K31" s="9">
        <f t="shared" si="3"/>
        <v>0.397753889571544</v>
      </c>
      <c r="L31" s="9">
        <f t="shared" si="4"/>
        <v>0.5062232972385334</v>
      </c>
      <c r="M31" s="9">
        <f t="shared" si="5"/>
        <v>0.6146927049055229</v>
      </c>
      <c r="N31" s="9">
        <f t="shared" si="6"/>
        <v>0.7231621125725124</v>
      </c>
      <c r="O31" s="9">
        <f t="shared" si="7"/>
        <v>0.8646927049055229</v>
      </c>
      <c r="P31" s="9">
        <f>sunrise(Location!$B$4,Location!$B$5,Location!$B$6,11,A31,Location!$B$7,0)</f>
        <v>0.2892844819045546</v>
      </c>
      <c r="Q31" s="9">
        <f>sunset(Location!$B$4,Location!$B$5,Location!$B$6,11,A31,Location!$B$7,0)</f>
        <v>0.7231621125725124</v>
      </c>
      <c r="R31" s="9">
        <f t="shared" si="8"/>
        <v>0.4338776306679578</v>
      </c>
      <c r="S31" s="10">
        <f t="shared" si="9"/>
        <v>0.03615646922232982</v>
      </c>
      <c r="T31" s="9">
        <f t="shared" si="10"/>
        <v>23.566122369332042</v>
      </c>
      <c r="U31" s="10">
        <f t="shared" si="11"/>
        <v>0.04717686411100351</v>
      </c>
    </row>
    <row r="32" spans="1:21" ht="12.75">
      <c r="A32" s="5">
        <v>30</v>
      </c>
      <c r="B32" s="6" t="str">
        <f>B4</f>
        <v>Monday</v>
      </c>
      <c r="C32" s="59"/>
      <c r="D32" s="7"/>
      <c r="E32" s="8" t="s">
        <v>29</v>
      </c>
      <c r="F32" s="6" t="s">
        <v>78</v>
      </c>
      <c r="G32" s="47" t="s">
        <v>230</v>
      </c>
      <c r="H32" s="9">
        <f t="shared" si="0"/>
        <v>12.006479555246997</v>
      </c>
      <c r="I32" s="9">
        <f t="shared" si="1"/>
        <v>6.1481582177771275</v>
      </c>
      <c r="J32" s="9">
        <f t="shared" si="2"/>
        <v>0.2898368803072569</v>
      </c>
      <c r="K32" s="9">
        <f t="shared" si="3"/>
        <v>0.39815821777712745</v>
      </c>
      <c r="L32" s="9">
        <f t="shared" si="4"/>
        <v>0.5064795552469981</v>
      </c>
      <c r="M32" s="9">
        <f t="shared" si="5"/>
        <v>0.6148008927168687</v>
      </c>
      <c r="N32" s="9">
        <f t="shared" si="6"/>
        <v>0.7231222301867392</v>
      </c>
      <c r="O32" s="9">
        <f t="shared" si="7"/>
        <v>0.8648008927168686</v>
      </c>
      <c r="P32" s="9">
        <f>sunrise(Location!$B$4,Location!$B$5,Location!$B$6,11,A32,Location!$B$7,0)</f>
        <v>0.2898368803072569</v>
      </c>
      <c r="Q32" s="9">
        <f>sunset(Location!$B$4,Location!$B$5,Location!$B$6,11,A32,Location!$B$7,0)</f>
        <v>0.7231222301867392</v>
      </c>
      <c r="R32" s="9">
        <f t="shared" si="8"/>
        <v>0.43328534987948225</v>
      </c>
      <c r="S32" s="10">
        <f t="shared" si="9"/>
        <v>0.03610711248995686</v>
      </c>
      <c r="T32" s="9">
        <f t="shared" si="10"/>
        <v>23.566714650120517</v>
      </c>
      <c r="U32" s="10">
        <f t="shared" si="11"/>
        <v>0.04722622084337647</v>
      </c>
    </row>
    <row r="33" ht="12.75">
      <c r="B33" s="6"/>
    </row>
    <row r="34" ht="12.75">
      <c r="B34" s="6"/>
    </row>
    <row r="35" spans="1:5" ht="12.75">
      <c r="A35" s="6"/>
      <c r="E35" s="11"/>
    </row>
    <row r="36" spans="2:5" ht="12.75">
      <c r="B36" s="6"/>
      <c r="D36" s="52"/>
      <c r="E36" s="13"/>
    </row>
    <row r="37" spans="2:5" ht="12.75">
      <c r="B37" s="6"/>
      <c r="C37" s="58" t="str">
        <f>IF(Location!B9="No",Location!C13,Location!C14)</f>
        <v>D</v>
      </c>
      <c r="E37" s="13"/>
    </row>
  </sheetData>
  <sheetProtection/>
  <conditionalFormatting sqref="E3:E32">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U39"/>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171</v>
      </c>
      <c r="B1" s="118"/>
      <c r="C1" s="118"/>
      <c r="D1" s="118"/>
      <c r="E1" s="119" t="str">
        <f>ROMAN(Location!$B$6)</f>
        <v>MMIX</v>
      </c>
      <c r="F1" s="118"/>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132</v>
      </c>
      <c r="T2" s="27" t="s">
        <v>15</v>
      </c>
      <c r="U2" s="27" t="s">
        <v>133</v>
      </c>
    </row>
    <row r="3" spans="1:21" ht="12.75">
      <c r="A3" s="5">
        <v>1</v>
      </c>
      <c r="B3" s="6" t="str">
        <f>November!B26</f>
        <v>Tuesday</v>
      </c>
      <c r="C3" s="59"/>
      <c r="D3" s="92" t="s">
        <v>20</v>
      </c>
      <c r="E3" s="8" t="s">
        <v>32</v>
      </c>
      <c r="F3" s="6" t="s">
        <v>18</v>
      </c>
      <c r="G3" s="82"/>
      <c r="H3" s="9">
        <f aca="true" t="shared" si="0" ref="H3:H33">(T3/2)+Q3-"12:00:00"</f>
        <v>12.016064820249658</v>
      </c>
      <c r="I3" s="9">
        <f aca="true" t="shared" si="1" ref="I3:I33">H3+((J3-H3)/2)</f>
        <v>6.1625462990137185</v>
      </c>
      <c r="J3" s="9">
        <f aca="true" t="shared" si="2" ref="J3:J33">P3</f>
        <v>0.3090277777777778</v>
      </c>
      <c r="K3" s="9">
        <f aca="true" t="shared" si="3" ref="K3:K33">J3+((L3-J3)/2)</f>
        <v>0.412546299013718</v>
      </c>
      <c r="L3" s="9">
        <f aca="true" t="shared" si="4" ref="L3:L33">(R3/2)+J3</f>
        <v>0.5160648202496582</v>
      </c>
      <c r="M3" s="9">
        <f aca="true" t="shared" si="5" ref="M3:M33">((N3-L3)/2)+L3</f>
        <v>0.6195833414855983</v>
      </c>
      <c r="N3" s="9">
        <f aca="true" t="shared" si="6" ref="N3:N33">Q3</f>
        <v>0.7231018627215385</v>
      </c>
      <c r="O3" s="9">
        <f aca="true" t="shared" si="7" ref="O3:O33">3*U3+N3</f>
        <v>0.8695833414855983</v>
      </c>
      <c r="P3" s="9">
        <v>0.3090277777777778</v>
      </c>
      <c r="Q3" s="9">
        <f>sunset(Location!$B$4,Location!$B$5,Location!$B$6,12,A3,Location!$B$7,0)</f>
        <v>0.7231018627215385</v>
      </c>
      <c r="R3" s="9">
        <f aca="true" t="shared" si="8" ref="R3:R33">Q3-P3</f>
        <v>0.41407408494376075</v>
      </c>
      <c r="S3" s="10">
        <f aca="true" t="shared" si="9" ref="S3:S33">R3/12</f>
        <v>0.034506173745313395</v>
      </c>
      <c r="T3" s="9">
        <f aca="true" t="shared" si="10" ref="T3:T33">(24-(Q3-P3))</f>
        <v>23.58592591505624</v>
      </c>
      <c r="U3" s="10">
        <f aca="true" t="shared" si="11" ref="U3:U33">"1:00:00"-S3+"1:00:00"</f>
        <v>0.04882715958801993</v>
      </c>
    </row>
    <row r="4" spans="1:21" ht="12.75">
      <c r="A4" s="5">
        <v>2</v>
      </c>
      <c r="B4" s="6" t="str">
        <f>November!B27</f>
        <v>Wednesday</v>
      </c>
      <c r="C4" s="59"/>
      <c r="D4" s="7"/>
      <c r="E4" s="8" t="s">
        <v>36</v>
      </c>
      <c r="F4" s="6" t="s">
        <v>93</v>
      </c>
      <c r="G4" s="82"/>
      <c r="H4" s="9">
        <f t="shared" si="0"/>
        <v>12.007014320340174</v>
      </c>
      <c r="I4" s="9">
        <f t="shared" si="1"/>
        <v>6.148970988915725</v>
      </c>
      <c r="J4" s="9">
        <f t="shared" si="2"/>
        <v>0.2909276574912749</v>
      </c>
      <c r="K4" s="9">
        <f t="shared" si="3"/>
        <v>0.398970988915724</v>
      </c>
      <c r="L4" s="9">
        <f t="shared" si="4"/>
        <v>0.5070143203401731</v>
      </c>
      <c r="M4" s="9">
        <f t="shared" si="5"/>
        <v>0.6150576517646222</v>
      </c>
      <c r="N4" s="9">
        <f t="shared" si="6"/>
        <v>0.7231009831890712</v>
      </c>
      <c r="O4" s="9">
        <f t="shared" si="7"/>
        <v>0.8650576517646221</v>
      </c>
      <c r="P4" s="9">
        <f>sunrise(Location!$B$4,Location!$B$5,Location!$B$6,12,A4,Location!$B$7,0)</f>
        <v>0.2909276574912749</v>
      </c>
      <c r="Q4" s="9">
        <f>sunset(Location!$B$4,Location!$B$5,Location!$B$6,12,A4,Location!$B$7,0)</f>
        <v>0.7231009831890712</v>
      </c>
      <c r="R4" s="9">
        <f t="shared" si="8"/>
        <v>0.4321733256977963</v>
      </c>
      <c r="S4" s="10">
        <f t="shared" si="9"/>
        <v>0.03601444380814969</v>
      </c>
      <c r="T4" s="9">
        <f t="shared" si="10"/>
        <v>23.567826674302204</v>
      </c>
      <c r="U4" s="10">
        <f t="shared" si="11"/>
        <v>0.047318889525183636</v>
      </c>
    </row>
    <row r="5" spans="1:21" ht="12.75">
      <c r="A5" s="5">
        <v>3</v>
      </c>
      <c r="B5" s="6" t="str">
        <f>November!B28</f>
        <v>Thursday</v>
      </c>
      <c r="C5" s="59"/>
      <c r="D5" s="92" t="s">
        <v>23</v>
      </c>
      <c r="E5" s="8" t="s">
        <v>17</v>
      </c>
      <c r="F5" s="6" t="s">
        <v>94</v>
      </c>
      <c r="G5" s="82"/>
      <c r="H5" s="9">
        <f t="shared" si="0"/>
        <v>12.007292301235116</v>
      </c>
      <c r="I5" s="9">
        <f t="shared" si="1"/>
        <v>6.149378678217126</v>
      </c>
      <c r="J5" s="9">
        <f t="shared" si="2"/>
        <v>0.2914650551991348</v>
      </c>
      <c r="K5" s="9">
        <f t="shared" si="3"/>
        <v>0.39937867821712575</v>
      </c>
      <c r="L5" s="9">
        <f t="shared" si="4"/>
        <v>0.5072923012351167</v>
      </c>
      <c r="M5" s="9">
        <f t="shared" si="5"/>
        <v>0.6152059242531077</v>
      </c>
      <c r="N5" s="9">
        <f t="shared" si="6"/>
        <v>0.7231195472710987</v>
      </c>
      <c r="O5" s="9">
        <f t="shared" si="7"/>
        <v>0.8652059242531077</v>
      </c>
      <c r="P5" s="9">
        <f>sunrise(Location!$B$4,Location!$B$5,Location!$B$6,12,A5,Location!$B$7,0)</f>
        <v>0.2914650551991348</v>
      </c>
      <c r="Q5" s="9">
        <f>sunset(Location!$B$4,Location!$B$5,Location!$B$6,12,A5,Location!$B$7,0)</f>
        <v>0.7231195472710987</v>
      </c>
      <c r="R5" s="9">
        <f t="shared" si="8"/>
        <v>0.43165449207196394</v>
      </c>
      <c r="S5" s="10">
        <f t="shared" si="9"/>
        <v>0.03597120767266366</v>
      </c>
      <c r="T5" s="9">
        <f t="shared" si="10"/>
        <v>23.568345507928036</v>
      </c>
      <c r="U5" s="10">
        <f t="shared" si="11"/>
        <v>0.04736212566066967</v>
      </c>
    </row>
    <row r="6" spans="1:21" ht="12.75">
      <c r="A6" s="5">
        <v>4</v>
      </c>
      <c r="B6" s="6" t="str">
        <f>November!B29</f>
        <v>Friday</v>
      </c>
      <c r="C6" s="59"/>
      <c r="D6" s="92" t="s">
        <v>28</v>
      </c>
      <c r="E6" s="8" t="s">
        <v>21</v>
      </c>
      <c r="F6" s="6" t="s">
        <v>27</v>
      </c>
      <c r="G6" s="82"/>
      <c r="H6" s="9">
        <f t="shared" si="0"/>
        <v>12.007576978641554</v>
      </c>
      <c r="I6" s="9">
        <f t="shared" si="1"/>
        <v>6.149786721423243</v>
      </c>
      <c r="J6" s="9">
        <f t="shared" si="2"/>
        <v>0.2919964642049323</v>
      </c>
      <c r="K6" s="9">
        <f t="shared" si="3"/>
        <v>0.39978672142324345</v>
      </c>
      <c r="L6" s="9">
        <f t="shared" si="4"/>
        <v>0.5075769786415546</v>
      </c>
      <c r="M6" s="9">
        <f t="shared" si="5"/>
        <v>0.6153672358598657</v>
      </c>
      <c r="N6" s="9">
        <f t="shared" si="6"/>
        <v>0.7231574930781769</v>
      </c>
      <c r="O6" s="9">
        <f t="shared" si="7"/>
        <v>0.8653672358598657</v>
      </c>
      <c r="P6" s="9">
        <f>sunrise(Location!$B$4,Location!$B$5,Location!$B$6,12,A6,Location!$B$7,0)</f>
        <v>0.2919964642049323</v>
      </c>
      <c r="Q6" s="9">
        <f>sunset(Location!$B$4,Location!$B$5,Location!$B$6,12,A6,Location!$B$7,0)</f>
        <v>0.7231574930781769</v>
      </c>
      <c r="R6" s="9">
        <f t="shared" si="8"/>
        <v>0.4311610288732446</v>
      </c>
      <c r="S6" s="10">
        <f t="shared" si="9"/>
        <v>0.03593008573943705</v>
      </c>
      <c r="T6" s="9">
        <f t="shared" si="10"/>
        <v>23.568838971126755</v>
      </c>
      <c r="U6" s="10">
        <f t="shared" si="11"/>
        <v>0.04740324759389628</v>
      </c>
    </row>
    <row r="7" spans="1:21" ht="12.75">
      <c r="A7" s="5">
        <v>5</v>
      </c>
      <c r="B7" s="6" t="str">
        <f>November!B30</f>
        <v>Saturday</v>
      </c>
      <c r="C7" s="59"/>
      <c r="D7" s="7"/>
      <c r="E7" s="8" t="s">
        <v>24</v>
      </c>
      <c r="F7" s="6" t="s">
        <v>30</v>
      </c>
      <c r="G7" s="82"/>
      <c r="H7" s="9">
        <f t="shared" si="0"/>
        <v>12.00786806263659</v>
      </c>
      <c r="I7" s="9">
        <f t="shared" si="1"/>
        <v>6.150194723485258</v>
      </c>
      <c r="J7" s="9">
        <f t="shared" si="2"/>
        <v>0.2925213843339279</v>
      </c>
      <c r="K7" s="9">
        <f t="shared" si="3"/>
        <v>0.4001947234852584</v>
      </c>
      <c r="L7" s="9">
        <f t="shared" si="4"/>
        <v>0.5078680626365889</v>
      </c>
      <c r="M7" s="9">
        <f t="shared" si="5"/>
        <v>0.6155414017879195</v>
      </c>
      <c r="N7" s="9">
        <f t="shared" si="6"/>
        <v>0.72321474093925</v>
      </c>
      <c r="O7" s="9">
        <f t="shared" si="7"/>
        <v>0.8655414017879195</v>
      </c>
      <c r="P7" s="9">
        <f>sunrise(Location!$B$4,Location!$B$5,Location!$B$6,12,A7,Location!$B$7,0)</f>
        <v>0.2925213843339279</v>
      </c>
      <c r="Q7" s="9">
        <f>sunset(Location!$B$4,Location!$B$5,Location!$B$6,12,A7,Location!$B$7,0)</f>
        <v>0.72321474093925</v>
      </c>
      <c r="R7" s="9">
        <f t="shared" si="8"/>
        <v>0.4306933566053221</v>
      </c>
      <c r="S7" s="10">
        <f t="shared" si="9"/>
        <v>0.035891113050443506</v>
      </c>
      <c r="T7" s="9">
        <f t="shared" si="10"/>
        <v>23.56930664339468</v>
      </c>
      <c r="U7" s="10">
        <f t="shared" si="11"/>
        <v>0.04744222028288982</v>
      </c>
    </row>
    <row r="8" spans="1:21" ht="12.75">
      <c r="A8" s="5">
        <v>6</v>
      </c>
      <c r="B8" s="6" t="str">
        <f>November!B31</f>
        <v>Sunday</v>
      </c>
      <c r="C8" s="59"/>
      <c r="D8" s="92" t="s">
        <v>35</v>
      </c>
      <c r="E8" s="8" t="s">
        <v>26</v>
      </c>
      <c r="F8" s="6" t="s">
        <v>95</v>
      </c>
      <c r="G8" s="82" t="s">
        <v>324</v>
      </c>
      <c r="H8" s="9">
        <f t="shared" si="0"/>
        <v>12.00816525327933</v>
      </c>
      <c r="I8" s="9">
        <f t="shared" si="1"/>
        <v>6.150602283307194</v>
      </c>
      <c r="J8" s="9">
        <f t="shared" si="2"/>
        <v>0.29303931333505695</v>
      </c>
      <c r="K8" s="9">
        <f t="shared" si="3"/>
        <v>0.40060228330719316</v>
      </c>
      <c r="L8" s="9">
        <f t="shared" si="4"/>
        <v>0.5081652532793294</v>
      </c>
      <c r="M8" s="9">
        <f t="shared" si="5"/>
        <v>0.6157282232514656</v>
      </c>
      <c r="N8" s="9">
        <f t="shared" si="6"/>
        <v>0.7232911932236018</v>
      </c>
      <c r="O8" s="9">
        <f t="shared" si="7"/>
        <v>0.8657282232514656</v>
      </c>
      <c r="P8" s="9">
        <f>sunrise(Location!$B$4,Location!$B$5,Location!$B$6,12,A8,Location!$B$7,0)</f>
        <v>0.29303931333505695</v>
      </c>
      <c r="Q8" s="9">
        <f>sunset(Location!$B$4,Location!$B$5,Location!$B$6,12,A8,Location!$B$7,0)</f>
        <v>0.7232911932236018</v>
      </c>
      <c r="R8" s="9">
        <f t="shared" si="8"/>
        <v>0.43025187988854485</v>
      </c>
      <c r="S8" s="10">
        <f t="shared" si="9"/>
        <v>0.0358543233240454</v>
      </c>
      <c r="T8" s="9">
        <f t="shared" si="10"/>
        <v>23.569748120111456</v>
      </c>
      <c r="U8" s="10">
        <f t="shared" si="11"/>
        <v>0.04747901000928793</v>
      </c>
    </row>
    <row r="9" spans="1:21" ht="12.75">
      <c r="A9" s="5">
        <v>7</v>
      </c>
      <c r="B9" s="6" t="str">
        <f>November!B32</f>
        <v>Monday</v>
      </c>
      <c r="C9" s="59"/>
      <c r="D9" s="92" t="s">
        <v>38</v>
      </c>
      <c r="E9" s="8" t="s">
        <v>29</v>
      </c>
      <c r="F9" s="6" t="s">
        <v>96</v>
      </c>
      <c r="G9" s="130" t="s">
        <v>328</v>
      </c>
      <c r="H9" s="9">
        <f t="shared" si="0"/>
        <v>12.008468241045648</v>
      </c>
      <c r="I9" s="9">
        <f t="shared" si="1"/>
        <v>6.151008994469428</v>
      </c>
      <c r="J9" s="9">
        <f t="shared" si="2"/>
        <v>0.29354974789320754</v>
      </c>
      <c r="K9" s="9">
        <f t="shared" si="3"/>
        <v>0.4010089944694274</v>
      </c>
      <c r="L9" s="9">
        <f t="shared" si="4"/>
        <v>0.5084682410456473</v>
      </c>
      <c r="M9" s="9">
        <f t="shared" si="5"/>
        <v>0.6159274876218671</v>
      </c>
      <c r="N9" s="9">
        <f t="shared" si="6"/>
        <v>0.723386734198087</v>
      </c>
      <c r="O9" s="9">
        <f t="shared" si="7"/>
        <v>0.8659274876218671</v>
      </c>
      <c r="P9" s="9">
        <f>sunrise(Location!$B$4,Location!$B$5,Location!$B$6,12,A9,Location!$B$7,0)</f>
        <v>0.29354974789320754</v>
      </c>
      <c r="Q9" s="9">
        <f>sunset(Location!$B$4,Location!$B$5,Location!$B$6,12,A9,Location!$B$7,0)</f>
        <v>0.723386734198087</v>
      </c>
      <c r="R9" s="9">
        <f t="shared" si="8"/>
        <v>0.42983698630487943</v>
      </c>
      <c r="S9" s="10">
        <f t="shared" si="9"/>
        <v>0.03581974885873995</v>
      </c>
      <c r="T9" s="9">
        <f t="shared" si="10"/>
        <v>23.570163013695122</v>
      </c>
      <c r="U9" s="10">
        <f t="shared" si="11"/>
        <v>0.047513584474593376</v>
      </c>
    </row>
    <row r="10" spans="1:21" ht="12.75">
      <c r="A10" s="5">
        <v>8</v>
      </c>
      <c r="B10" s="6" t="str">
        <f aca="true" t="shared" si="12" ref="B10:B16">B3</f>
        <v>Tuesday</v>
      </c>
      <c r="C10" s="59"/>
      <c r="D10" s="7"/>
      <c r="E10" s="8" t="s">
        <v>32</v>
      </c>
      <c r="F10" s="6" t="s">
        <v>97</v>
      </c>
      <c r="G10" s="48" t="s">
        <v>151</v>
      </c>
      <c r="H10" s="9">
        <f t="shared" si="0"/>
        <v>12.008776707288359</v>
      </c>
      <c r="I10" s="9">
        <f t="shared" si="1"/>
        <v>6.151414445972059</v>
      </c>
      <c r="J10" s="9">
        <f t="shared" si="2"/>
        <v>0.29405218465576005</v>
      </c>
      <c r="K10" s="9">
        <f t="shared" si="3"/>
        <v>0.4014144459720601</v>
      </c>
      <c r="L10" s="9">
        <f t="shared" si="4"/>
        <v>0.5087767072883601</v>
      </c>
      <c r="M10" s="9">
        <f t="shared" si="5"/>
        <v>0.6161389686046601</v>
      </c>
      <c r="N10" s="9">
        <f t="shared" si="6"/>
        <v>0.7235012299209602</v>
      </c>
      <c r="O10" s="9">
        <f t="shared" si="7"/>
        <v>0.8661389686046601</v>
      </c>
      <c r="P10" s="9">
        <f>sunrise(Location!$B$4,Location!$B$5,Location!$B$6,12,A10,Location!$B$7,0)</f>
        <v>0.29405218465576005</v>
      </c>
      <c r="Q10" s="9">
        <f>sunset(Location!$B$4,Location!$B$5,Location!$B$6,12,A10,Location!$B$7,0)</f>
        <v>0.7235012299209602</v>
      </c>
      <c r="R10" s="9">
        <f t="shared" si="8"/>
        <v>0.42944904526520017</v>
      </c>
      <c r="S10" s="10">
        <f t="shared" si="9"/>
        <v>0.03578742043876668</v>
      </c>
      <c r="T10" s="9">
        <f t="shared" si="10"/>
        <v>23.5705509547348</v>
      </c>
      <c r="U10" s="10">
        <f t="shared" si="11"/>
        <v>0.047545912894566646</v>
      </c>
    </row>
    <row r="11" spans="1:21" ht="12.75">
      <c r="A11" s="5">
        <v>9</v>
      </c>
      <c r="B11" s="6" t="str">
        <f t="shared" si="12"/>
        <v>Wednesday</v>
      </c>
      <c r="C11" s="59"/>
      <c r="D11" s="92" t="s">
        <v>40</v>
      </c>
      <c r="E11" s="8" t="s">
        <v>36</v>
      </c>
      <c r="F11" s="6" t="s">
        <v>98</v>
      </c>
      <c r="G11" s="82"/>
      <c r="H11" s="9">
        <f t="shared" si="0"/>
        <v>12.009090324718693</v>
      </c>
      <c r="I11" s="9">
        <f t="shared" si="1"/>
        <v>6.151818222990349</v>
      </c>
      <c r="J11" s="9">
        <f t="shared" si="2"/>
        <v>0.2945461212620055</v>
      </c>
      <c r="K11" s="9">
        <f t="shared" si="3"/>
        <v>0.4018182229903501</v>
      </c>
      <c r="L11" s="9">
        <f t="shared" si="4"/>
        <v>0.5090903247186946</v>
      </c>
      <c r="M11" s="9">
        <f t="shared" si="5"/>
        <v>0.6163624264470393</v>
      </c>
      <c r="N11" s="9">
        <f t="shared" si="6"/>
        <v>0.7236345281753839</v>
      </c>
      <c r="O11" s="9">
        <f t="shared" si="7"/>
        <v>0.8663624264470393</v>
      </c>
      <c r="P11" s="9">
        <f>sunrise(Location!$B$4,Location!$B$5,Location!$B$6,12,A11,Location!$B$7,0)</f>
        <v>0.2945461212620055</v>
      </c>
      <c r="Q11" s="9">
        <f>sunset(Location!$B$4,Location!$B$5,Location!$B$6,12,A11,Location!$B$7,0)</f>
        <v>0.7236345281753839</v>
      </c>
      <c r="R11" s="9">
        <f t="shared" si="8"/>
        <v>0.42908840691337835</v>
      </c>
      <c r="S11" s="10">
        <f t="shared" si="9"/>
        <v>0.03575736724278153</v>
      </c>
      <c r="T11" s="9">
        <f t="shared" si="10"/>
        <v>23.57091159308662</v>
      </c>
      <c r="U11" s="10">
        <f t="shared" si="11"/>
        <v>0.0475759660905518</v>
      </c>
    </row>
    <row r="12" spans="1:21" ht="12.75">
      <c r="A12" s="5">
        <v>10</v>
      </c>
      <c r="B12" s="6" t="str">
        <f t="shared" si="12"/>
        <v>Thursday</v>
      </c>
      <c r="C12" s="59"/>
      <c r="D12" s="92" t="s">
        <v>42</v>
      </c>
      <c r="E12" s="8" t="s">
        <v>17</v>
      </c>
      <c r="F12" s="6" t="s">
        <v>99</v>
      </c>
      <c r="G12" s="82"/>
      <c r="H12" s="9">
        <f t="shared" si="0"/>
        <v>12.009408757911077</v>
      </c>
      <c r="I12" s="9">
        <f t="shared" si="1"/>
        <v>6.152219907644706</v>
      </c>
      <c r="J12" s="9">
        <f t="shared" si="2"/>
        <v>0.2950310573783351</v>
      </c>
      <c r="K12" s="9">
        <f t="shared" si="3"/>
        <v>0.4022199076447055</v>
      </c>
      <c r="L12" s="9">
        <f t="shared" si="4"/>
        <v>0.5094087579110759</v>
      </c>
      <c r="M12" s="9">
        <f t="shared" si="5"/>
        <v>0.6165976081774462</v>
      </c>
      <c r="N12" s="9">
        <f t="shared" si="6"/>
        <v>0.7237864584438166</v>
      </c>
      <c r="O12" s="9">
        <f t="shared" si="7"/>
        <v>0.8665976081774462</v>
      </c>
      <c r="P12" s="9">
        <f>sunrise(Location!$B$4,Location!$B$5,Location!$B$6,12,A12,Location!$B$7,0)</f>
        <v>0.2950310573783351</v>
      </c>
      <c r="Q12" s="9">
        <f>sunset(Location!$B$4,Location!$B$5,Location!$B$6,12,A12,Location!$B$7,0)</f>
        <v>0.7237864584438166</v>
      </c>
      <c r="R12" s="9">
        <f t="shared" si="8"/>
        <v>0.4287554010654815</v>
      </c>
      <c r="S12" s="10">
        <f t="shared" si="9"/>
        <v>0.03572961675545679</v>
      </c>
      <c r="T12" s="9">
        <f t="shared" si="10"/>
        <v>23.57124459893452</v>
      </c>
      <c r="U12" s="10">
        <f t="shared" si="11"/>
        <v>0.047603716577876536</v>
      </c>
    </row>
    <row r="13" spans="1:21" ht="12.75">
      <c r="A13" s="5">
        <v>11</v>
      </c>
      <c r="B13" s="6" t="str">
        <f t="shared" si="12"/>
        <v>Friday</v>
      </c>
      <c r="C13" s="59"/>
      <c r="D13" s="7"/>
      <c r="E13" s="8" t="s">
        <v>21</v>
      </c>
      <c r="F13" s="6" t="s">
        <v>101</v>
      </c>
      <c r="G13" s="82"/>
      <c r="H13" s="9">
        <f t="shared" si="0"/>
        <v>12.009731663827802</v>
      </c>
      <c r="I13" s="9">
        <f t="shared" si="1"/>
        <v>6.1526190797787415</v>
      </c>
      <c r="J13" s="9">
        <f t="shared" si="2"/>
        <v>0.2955064957296816</v>
      </c>
      <c r="K13" s="9">
        <f t="shared" si="3"/>
        <v>0.40261907977874184</v>
      </c>
      <c r="L13" s="9">
        <f t="shared" si="4"/>
        <v>0.5097316638278021</v>
      </c>
      <c r="M13" s="9">
        <f t="shared" si="5"/>
        <v>0.6168442478768623</v>
      </c>
      <c r="N13" s="9">
        <f t="shared" si="6"/>
        <v>0.7239568319259226</v>
      </c>
      <c r="O13" s="9">
        <f t="shared" si="7"/>
        <v>0.8668442478768623</v>
      </c>
      <c r="P13" s="9">
        <f>sunrise(Location!$B$4,Location!$B$5,Location!$B$6,12,A13,Location!$B$7,0)</f>
        <v>0.2955064957296816</v>
      </c>
      <c r="Q13" s="9">
        <f>sunset(Location!$B$4,Location!$B$5,Location!$B$6,12,A13,Location!$B$7,0)</f>
        <v>0.7239568319259226</v>
      </c>
      <c r="R13" s="9">
        <f t="shared" si="8"/>
        <v>0.42845033619624107</v>
      </c>
      <c r="S13" s="10">
        <f t="shared" si="9"/>
        <v>0.03570419468302009</v>
      </c>
      <c r="T13" s="9">
        <f t="shared" si="10"/>
        <v>23.571549663803758</v>
      </c>
      <c r="U13" s="10">
        <f t="shared" si="11"/>
        <v>0.04762913865031324</v>
      </c>
    </row>
    <row r="14" spans="1:21" ht="12.75">
      <c r="A14" s="5">
        <v>12</v>
      </c>
      <c r="B14" s="6" t="str">
        <f t="shared" si="12"/>
        <v>Saturday</v>
      </c>
      <c r="C14" s="59"/>
      <c r="D14" s="92" t="s">
        <v>45</v>
      </c>
      <c r="E14" s="8" t="s">
        <v>24</v>
      </c>
      <c r="F14" s="6" t="s">
        <v>46</v>
      </c>
      <c r="G14" s="83"/>
      <c r="H14" s="9">
        <f t="shared" si="0"/>
        <v>12.010058692363488</v>
      </c>
      <c r="I14" s="9">
        <f t="shared" si="1"/>
        <v>6.153015317744385</v>
      </c>
      <c r="J14" s="9">
        <f t="shared" si="2"/>
        <v>0.2959719431252821</v>
      </c>
      <c r="K14" s="9">
        <f t="shared" si="3"/>
        <v>0.40301531774438526</v>
      </c>
      <c r="L14" s="9">
        <f t="shared" si="4"/>
        <v>0.5100586923634884</v>
      </c>
      <c r="M14" s="9">
        <f t="shared" si="5"/>
        <v>0.6171020669825915</v>
      </c>
      <c r="N14" s="9">
        <f t="shared" si="6"/>
        <v>0.7241454416016947</v>
      </c>
      <c r="O14" s="9">
        <f t="shared" si="7"/>
        <v>0.8671020669825915</v>
      </c>
      <c r="P14" s="9">
        <f>sunrise(Location!$B$4,Location!$B$5,Location!$B$6,12,A14,Location!$B$7,0)</f>
        <v>0.2959719431252821</v>
      </c>
      <c r="Q14" s="9">
        <f>sunset(Location!$B$4,Location!$B$5,Location!$B$6,12,A14,Location!$B$7,0)</f>
        <v>0.7241454416016947</v>
      </c>
      <c r="R14" s="9">
        <f t="shared" si="8"/>
        <v>0.4281734984764126</v>
      </c>
      <c r="S14" s="10">
        <f t="shared" si="9"/>
        <v>0.03568112487303438</v>
      </c>
      <c r="T14" s="9">
        <f t="shared" si="10"/>
        <v>23.57182650152359</v>
      </c>
      <c r="U14" s="10">
        <f t="shared" si="11"/>
        <v>0.047652208460298946</v>
      </c>
    </row>
    <row r="15" spans="1:21" ht="12.75">
      <c r="A15" s="5">
        <v>13</v>
      </c>
      <c r="B15" s="6" t="str">
        <f t="shared" si="12"/>
        <v>Sunday</v>
      </c>
      <c r="C15" s="59"/>
      <c r="D15" s="7"/>
      <c r="E15" s="8" t="s">
        <v>26</v>
      </c>
      <c r="F15" s="6" t="s">
        <v>47</v>
      </c>
      <c r="G15" s="145" t="s">
        <v>325</v>
      </c>
      <c r="H15" s="9">
        <f t="shared" si="0"/>
        <v>12.010389486907236</v>
      </c>
      <c r="I15" s="9">
        <f t="shared" si="1"/>
        <v>6.153408199190718</v>
      </c>
      <c r="J15" s="9">
        <f t="shared" si="2"/>
        <v>0.2964269114741992</v>
      </c>
      <c r="K15" s="9">
        <f t="shared" si="3"/>
        <v>0.4034081991907182</v>
      </c>
      <c r="L15" s="9">
        <f t="shared" si="4"/>
        <v>0.5103894869072372</v>
      </c>
      <c r="M15" s="9">
        <f t="shared" si="5"/>
        <v>0.6173707746237562</v>
      </c>
      <c r="N15" s="9">
        <f t="shared" si="6"/>
        <v>0.7243520623402753</v>
      </c>
      <c r="O15" s="9">
        <f t="shared" si="7"/>
        <v>0.8673707746237562</v>
      </c>
      <c r="P15" s="9">
        <f>sunrise(Location!$B$4,Location!$B$5,Location!$B$6,12,A15,Location!$B$7,0)</f>
        <v>0.2964269114741992</v>
      </c>
      <c r="Q15" s="9">
        <f>sunset(Location!$B$4,Location!$B$5,Location!$B$6,12,A15,Location!$B$7,0)</f>
        <v>0.7243520623402753</v>
      </c>
      <c r="R15" s="9">
        <f t="shared" si="8"/>
        <v>0.4279251508660761</v>
      </c>
      <c r="S15" s="10">
        <f t="shared" si="9"/>
        <v>0.03566042923883967</v>
      </c>
      <c r="T15" s="9">
        <f t="shared" si="10"/>
        <v>23.572074849133923</v>
      </c>
      <c r="U15" s="10">
        <f t="shared" si="11"/>
        <v>0.04767290409449366</v>
      </c>
    </row>
    <row r="16" spans="1:21" ht="12.75">
      <c r="A16" s="5">
        <v>14</v>
      </c>
      <c r="B16" s="6" t="str">
        <f t="shared" si="12"/>
        <v>Monday</v>
      </c>
      <c r="C16" s="59"/>
      <c r="D16" s="92" t="s">
        <v>48</v>
      </c>
      <c r="E16" s="8" t="s">
        <v>29</v>
      </c>
      <c r="F16" s="6" t="s">
        <v>142</v>
      </c>
      <c r="G16" s="127" t="s">
        <v>329</v>
      </c>
      <c r="H16" s="9">
        <f t="shared" si="0"/>
        <v>12.010723684922223</v>
      </c>
      <c r="I16" s="9">
        <f t="shared" si="1"/>
        <v>6.153797301854182</v>
      </c>
      <c r="J16" s="9">
        <f t="shared" si="2"/>
        <v>0.2968709187861398</v>
      </c>
      <c r="K16" s="9">
        <f t="shared" si="3"/>
        <v>0.4037973018541814</v>
      </c>
      <c r="L16" s="9">
        <f t="shared" si="4"/>
        <v>0.510723684922223</v>
      </c>
      <c r="M16" s="9">
        <f t="shared" si="5"/>
        <v>0.6176500679902646</v>
      </c>
      <c r="N16" s="9">
        <f t="shared" si="6"/>
        <v>0.7245764510583063</v>
      </c>
      <c r="O16" s="9">
        <f t="shared" si="7"/>
        <v>0.8676500679902646</v>
      </c>
      <c r="P16" s="9">
        <f>sunrise(Location!$B$4,Location!$B$5,Location!$B$6,12,A16,Location!$B$7,0)</f>
        <v>0.2968709187861398</v>
      </c>
      <c r="Q16" s="9">
        <f>sunset(Location!$B$4,Location!$B$5,Location!$B$6,12,A16,Location!$B$7,0)</f>
        <v>0.7245764510583063</v>
      </c>
      <c r="R16" s="9">
        <f t="shared" si="8"/>
        <v>0.42770553227216646</v>
      </c>
      <c r="S16" s="10">
        <f t="shared" si="9"/>
        <v>0.03564212768934721</v>
      </c>
      <c r="T16" s="9">
        <f t="shared" si="10"/>
        <v>23.572294467727833</v>
      </c>
      <c r="U16" s="10">
        <f t="shared" si="11"/>
        <v>0.04769120564398612</v>
      </c>
    </row>
    <row r="17" spans="1:21" ht="12.75">
      <c r="A17" s="5">
        <v>15</v>
      </c>
      <c r="B17" s="6" t="str">
        <f aca="true" t="shared" si="13" ref="B17:B23">B3</f>
        <v>Tuesday</v>
      </c>
      <c r="C17" s="59"/>
      <c r="D17" s="92" t="s">
        <v>50</v>
      </c>
      <c r="E17" s="8" t="s">
        <v>32</v>
      </c>
      <c r="F17" s="6" t="s">
        <v>123</v>
      </c>
      <c r="G17" s="82"/>
      <c r="H17" s="9">
        <f t="shared" si="0"/>
        <v>12.011060918539414</v>
      </c>
      <c r="I17" s="9">
        <f t="shared" si="1"/>
        <v>6.154182204345918</v>
      </c>
      <c r="J17" s="9">
        <f t="shared" si="2"/>
        <v>0.2973034901524217</v>
      </c>
      <c r="K17" s="9">
        <f t="shared" si="3"/>
        <v>0.40418220434591756</v>
      </c>
      <c r="L17" s="9">
        <f t="shared" si="4"/>
        <v>0.5110609185394134</v>
      </c>
      <c r="M17" s="9">
        <f t="shared" si="5"/>
        <v>0.6179396327329092</v>
      </c>
      <c r="N17" s="9">
        <f t="shared" si="6"/>
        <v>0.724818346926405</v>
      </c>
      <c r="O17" s="9">
        <f t="shared" si="7"/>
        <v>0.8679396327329092</v>
      </c>
      <c r="P17" s="9">
        <f>sunrise(Location!$B$4,Location!$B$5,Location!$B$6,12,A17,Location!$B$7,0)</f>
        <v>0.2973034901524217</v>
      </c>
      <c r="Q17" s="9">
        <f>sunset(Location!$B$4,Location!$B$5,Location!$B$6,12,A17,Location!$B$7,0)</f>
        <v>0.724818346926405</v>
      </c>
      <c r="R17" s="9">
        <f t="shared" si="8"/>
        <v>0.4275148567739833</v>
      </c>
      <c r="S17" s="10">
        <f t="shared" si="9"/>
        <v>0.03562623806449861</v>
      </c>
      <c r="T17" s="9">
        <f t="shared" si="10"/>
        <v>23.572485143226018</v>
      </c>
      <c r="U17" s="10">
        <f t="shared" si="11"/>
        <v>0.047707095268834716</v>
      </c>
    </row>
    <row r="18" spans="1:21" ht="12.75">
      <c r="A18" s="5">
        <v>16</v>
      </c>
      <c r="B18" s="6" t="str">
        <f t="shared" si="13"/>
        <v>Wednesday</v>
      </c>
      <c r="C18" s="59"/>
      <c r="D18" s="7"/>
      <c r="E18" s="8" t="s">
        <v>36</v>
      </c>
      <c r="F18" s="6" t="s">
        <v>102</v>
      </c>
      <c r="G18" s="82"/>
      <c r="H18" s="9">
        <f t="shared" si="0"/>
        <v>12.011400815166263</v>
      </c>
      <c r="I18" s="9">
        <f t="shared" si="1"/>
        <v>6.154562486936114</v>
      </c>
      <c r="J18" s="9">
        <f t="shared" si="2"/>
        <v>0.2977241587059651</v>
      </c>
      <c r="K18" s="9">
        <f t="shared" si="3"/>
        <v>0.4045624869361141</v>
      </c>
      <c r="L18" s="9">
        <f t="shared" si="4"/>
        <v>0.511400815166263</v>
      </c>
      <c r="M18" s="9">
        <f t="shared" si="5"/>
        <v>0.6182391433964121</v>
      </c>
      <c r="N18" s="9">
        <f t="shared" si="6"/>
        <v>0.725077471626561</v>
      </c>
      <c r="O18" s="9">
        <f t="shared" si="7"/>
        <v>0.8682391433964121</v>
      </c>
      <c r="P18" s="9">
        <f>sunrise(Location!$B$4,Location!$B$5,Location!$B$6,12,A18,Location!$B$7,0)</f>
        <v>0.2977241587059651</v>
      </c>
      <c r="Q18" s="9">
        <f>sunset(Location!$B$4,Location!$B$5,Location!$B$6,12,A18,Location!$B$7,0)</f>
        <v>0.725077471626561</v>
      </c>
      <c r="R18" s="9">
        <f t="shared" si="8"/>
        <v>0.4273533129205959</v>
      </c>
      <c r="S18" s="10">
        <f t="shared" si="9"/>
        <v>0.035612776076716327</v>
      </c>
      <c r="T18" s="9">
        <f t="shared" si="10"/>
        <v>23.572646687079406</v>
      </c>
      <c r="U18" s="10">
        <f t="shared" si="11"/>
        <v>0.047720557256617</v>
      </c>
    </row>
    <row r="19" spans="1:21" ht="12.75">
      <c r="A19" s="5">
        <v>17</v>
      </c>
      <c r="B19" s="6" t="str">
        <f t="shared" si="13"/>
        <v>Thursday</v>
      </c>
      <c r="C19" s="59"/>
      <c r="D19" s="92" t="s">
        <v>53</v>
      </c>
      <c r="E19" s="8" t="s">
        <v>17</v>
      </c>
      <c r="F19" s="6" t="s">
        <v>103</v>
      </c>
      <c r="G19" s="82"/>
      <c r="H19" s="9">
        <f t="shared" si="0"/>
        <v>12.01174299810691</v>
      </c>
      <c r="I19" s="9">
        <f t="shared" si="1"/>
        <v>6.154937732330102</v>
      </c>
      <c r="J19" s="9">
        <f t="shared" si="2"/>
        <v>0.2981324665532923</v>
      </c>
      <c r="K19" s="9">
        <f t="shared" si="3"/>
        <v>0.4049377323301015</v>
      </c>
      <c r="L19" s="9">
        <f t="shared" si="4"/>
        <v>0.5117429981069107</v>
      </c>
      <c r="M19" s="9">
        <f t="shared" si="5"/>
        <v>0.6185482638837199</v>
      </c>
      <c r="N19" s="9">
        <f t="shared" si="6"/>
        <v>0.7253535296605291</v>
      </c>
      <c r="O19" s="9">
        <f t="shared" si="7"/>
        <v>0.8685482638837199</v>
      </c>
      <c r="P19" s="9">
        <f>sunrise(Location!$B$4,Location!$B$5,Location!$B$6,12,A19,Location!$B$7,0)</f>
        <v>0.2981324665532923</v>
      </c>
      <c r="Q19" s="9">
        <f>sunset(Location!$B$4,Location!$B$5,Location!$B$6,12,A19,Location!$B$7,0)</f>
        <v>0.7253535296605291</v>
      </c>
      <c r="R19" s="9">
        <f t="shared" si="8"/>
        <v>0.42722106310723684</v>
      </c>
      <c r="S19" s="10">
        <f t="shared" si="9"/>
        <v>0.035601755258936406</v>
      </c>
      <c r="T19" s="9">
        <f t="shared" si="10"/>
        <v>23.572778936892764</v>
      </c>
      <c r="U19" s="10">
        <f t="shared" si="11"/>
        <v>0.04773157807439692</v>
      </c>
    </row>
    <row r="20" spans="1:21" ht="12.75">
      <c r="A20" s="5">
        <v>18</v>
      </c>
      <c r="B20" s="6" t="str">
        <f t="shared" si="13"/>
        <v>Friday</v>
      </c>
      <c r="C20" s="59"/>
      <c r="D20" s="92" t="s">
        <v>55</v>
      </c>
      <c r="E20" s="8" t="s">
        <v>21</v>
      </c>
      <c r="F20" s="6" t="s">
        <v>105</v>
      </c>
      <c r="G20" s="82"/>
      <c r="H20" s="9">
        <f t="shared" si="0"/>
        <v>12.012087087192777</v>
      </c>
      <c r="I20" s="9">
        <f t="shared" si="1"/>
        <v>6.155307526434289</v>
      </c>
      <c r="J20" s="9">
        <f t="shared" si="2"/>
        <v>0.2985279656758</v>
      </c>
      <c r="K20" s="9">
        <f t="shared" si="3"/>
        <v>0.405307526434288</v>
      </c>
      <c r="L20" s="9">
        <f t="shared" si="4"/>
        <v>0.5120870871927761</v>
      </c>
      <c r="M20" s="9">
        <f t="shared" si="5"/>
        <v>0.6188666479512641</v>
      </c>
      <c r="N20" s="9">
        <f t="shared" si="6"/>
        <v>0.725646208709752</v>
      </c>
      <c r="O20" s="9">
        <f t="shared" si="7"/>
        <v>0.868866647951264</v>
      </c>
      <c r="P20" s="9">
        <f>sunrise(Location!$B$4,Location!$B$5,Location!$B$6,12,A20,Location!$B$7,0)</f>
        <v>0.2985279656758</v>
      </c>
      <c r="Q20" s="9">
        <f>sunset(Location!$B$4,Location!$B$5,Location!$B$6,12,A20,Location!$B$7,0)</f>
        <v>0.725646208709752</v>
      </c>
      <c r="R20" s="9">
        <f t="shared" si="8"/>
        <v>0.42711824303395207</v>
      </c>
      <c r="S20" s="10">
        <f t="shared" si="9"/>
        <v>0.035593186919496006</v>
      </c>
      <c r="T20" s="9">
        <f t="shared" si="10"/>
        <v>23.572881756966048</v>
      </c>
      <c r="U20" s="10">
        <f t="shared" si="11"/>
        <v>0.04774014641383732</v>
      </c>
    </row>
    <row r="21" spans="1:21" ht="12.75">
      <c r="A21" s="5">
        <v>19</v>
      </c>
      <c r="B21" s="6" t="str">
        <f t="shared" si="13"/>
        <v>Saturday</v>
      </c>
      <c r="C21" s="59"/>
      <c r="D21" s="7"/>
      <c r="E21" s="8" t="s">
        <v>24</v>
      </c>
      <c r="F21" s="6" t="s">
        <v>107</v>
      </c>
      <c r="G21" s="83"/>
      <c r="H21" s="9">
        <f t="shared" si="0"/>
        <v>12.012432699422423</v>
      </c>
      <c r="I21" s="9">
        <f t="shared" si="1"/>
        <v>6.155671459110293</v>
      </c>
      <c r="J21" s="9">
        <f t="shared" si="2"/>
        <v>0.2989102187981633</v>
      </c>
      <c r="K21" s="9">
        <f t="shared" si="3"/>
        <v>0.40567145911029245</v>
      </c>
      <c r="L21" s="9">
        <f t="shared" si="4"/>
        <v>0.5124326994224215</v>
      </c>
      <c r="M21" s="9">
        <f t="shared" si="5"/>
        <v>0.6191939397345506</v>
      </c>
      <c r="N21" s="9">
        <f t="shared" si="6"/>
        <v>0.7259551800466797</v>
      </c>
      <c r="O21" s="9">
        <f t="shared" si="7"/>
        <v>0.8691939397345506</v>
      </c>
      <c r="P21" s="9">
        <f>sunrise(Location!$B$4,Location!$B$5,Location!$B$6,12,A21,Location!$B$7,0)</f>
        <v>0.2989102187981633</v>
      </c>
      <c r="Q21" s="9">
        <f>sunset(Location!$B$4,Location!$B$5,Location!$B$6,12,A21,Location!$B$7,0)</f>
        <v>0.7259551800466797</v>
      </c>
      <c r="R21" s="9">
        <f t="shared" si="8"/>
        <v>0.4270449612485164</v>
      </c>
      <c r="S21" s="10">
        <f t="shared" si="9"/>
        <v>0.03558708010404303</v>
      </c>
      <c r="T21" s="9">
        <f t="shared" si="10"/>
        <v>23.572955038751484</v>
      </c>
      <c r="U21" s="10">
        <f t="shared" si="11"/>
        <v>0.0477462532292903</v>
      </c>
    </row>
    <row r="22" spans="1:21" ht="12.75">
      <c r="A22" s="5">
        <v>20</v>
      </c>
      <c r="B22" s="6" t="str">
        <f t="shared" si="13"/>
        <v>Sunday</v>
      </c>
      <c r="C22" s="59"/>
      <c r="D22" s="92" t="s">
        <v>59</v>
      </c>
      <c r="E22" s="8" t="s">
        <v>26</v>
      </c>
      <c r="F22" s="6" t="s">
        <v>108</v>
      </c>
      <c r="G22" s="144" t="s">
        <v>326</v>
      </c>
      <c r="H22" s="9">
        <f t="shared" si="0"/>
        <v>12.012779449608711</v>
      </c>
      <c r="I22" s="9">
        <f t="shared" si="1"/>
        <v>6.1560291249140615</v>
      </c>
      <c r="J22" s="9">
        <f t="shared" si="2"/>
        <v>0.29927880021941144</v>
      </c>
      <c r="K22" s="9">
        <f t="shared" si="3"/>
        <v>0.4060291249140611</v>
      </c>
      <c r="L22" s="9">
        <f t="shared" si="4"/>
        <v>0.5127794496087108</v>
      </c>
      <c r="M22" s="9">
        <f t="shared" si="5"/>
        <v>0.6195297743033604</v>
      </c>
      <c r="N22" s="9">
        <f t="shared" si="6"/>
        <v>0.72628009899801</v>
      </c>
      <c r="O22" s="9">
        <f t="shared" si="7"/>
        <v>0.8695297743033603</v>
      </c>
      <c r="P22" s="9">
        <f>sunrise(Location!$B$4,Location!$B$5,Location!$B$6,12,A22,Location!$B$7,0)</f>
        <v>0.29927880021941144</v>
      </c>
      <c r="Q22" s="9">
        <f>sunset(Location!$B$4,Location!$B$5,Location!$B$6,12,A22,Location!$B$7,0)</f>
        <v>0.72628009899801</v>
      </c>
      <c r="R22" s="9">
        <f t="shared" si="8"/>
        <v>0.4270012987785986</v>
      </c>
      <c r="S22" s="10">
        <f t="shared" si="9"/>
        <v>0.03558344156488322</v>
      </c>
      <c r="T22" s="9">
        <f t="shared" si="10"/>
        <v>23.5729987012214</v>
      </c>
      <c r="U22" s="10">
        <f t="shared" si="11"/>
        <v>0.04774989176845011</v>
      </c>
    </row>
    <row r="23" spans="1:21" ht="12.75">
      <c r="A23" s="5">
        <v>21</v>
      </c>
      <c r="B23" s="6" t="str">
        <f t="shared" si="13"/>
        <v>Monday</v>
      </c>
      <c r="C23" s="59"/>
      <c r="D23" s="92" t="s">
        <v>61</v>
      </c>
      <c r="E23" s="8" t="s">
        <v>29</v>
      </c>
      <c r="F23" s="6" t="s">
        <v>110</v>
      </c>
      <c r="G23" s="47" t="s">
        <v>231</v>
      </c>
      <c r="H23" s="9">
        <f t="shared" si="0"/>
        <v>12.013126951031005</v>
      </c>
      <c r="I23" s="9">
        <f t="shared" si="1"/>
        <v>6.1563801238171365</v>
      </c>
      <c r="J23" s="9">
        <f t="shared" si="2"/>
        <v>0.2996332966032679</v>
      </c>
      <c r="K23" s="9">
        <f t="shared" si="3"/>
        <v>0.4063801238171368</v>
      </c>
      <c r="L23" s="9">
        <f t="shared" si="4"/>
        <v>0.5131269510310057</v>
      </c>
      <c r="M23" s="9">
        <f t="shared" si="5"/>
        <v>0.6198737782448746</v>
      </c>
      <c r="N23" s="9">
        <f t="shared" si="6"/>
        <v>0.7266206054587434</v>
      </c>
      <c r="O23" s="9">
        <f t="shared" si="7"/>
        <v>0.8698737782448744</v>
      </c>
      <c r="P23" s="9">
        <f>sunrise(Location!$B$4,Location!$B$5,Location!$B$6,12,A23,Location!$B$7,0)</f>
        <v>0.2996332966032679</v>
      </c>
      <c r="Q23" s="9">
        <f>sunset(Location!$B$4,Location!$B$5,Location!$B$6,12,A23,Location!$B$7,0)</f>
        <v>0.7266206054587434</v>
      </c>
      <c r="R23" s="9">
        <f t="shared" si="8"/>
        <v>0.42698730885547553</v>
      </c>
      <c r="S23" s="10">
        <f t="shared" si="9"/>
        <v>0.0355822757379563</v>
      </c>
      <c r="T23" s="9">
        <f t="shared" si="10"/>
        <v>23.573012691144523</v>
      </c>
      <c r="U23" s="10">
        <f t="shared" si="11"/>
        <v>0.04775105759537703</v>
      </c>
    </row>
    <row r="24" spans="1:21" ht="12.75">
      <c r="A24" s="5">
        <v>22</v>
      </c>
      <c r="B24" s="6" t="str">
        <f aca="true" t="shared" si="14" ref="B24:B30">B3</f>
        <v>Tuesday</v>
      </c>
      <c r="C24" s="59"/>
      <c r="D24" s="92" t="s">
        <v>217</v>
      </c>
      <c r="E24" s="8" t="s">
        <v>32</v>
      </c>
      <c r="F24" s="6" t="s">
        <v>111</v>
      </c>
      <c r="G24" s="82"/>
      <c r="H24" s="9">
        <f t="shared" si="0"/>
        <v>12.013474816092074</v>
      </c>
      <c r="I24" s="9">
        <f t="shared" si="1"/>
        <v>6.156724061909441</v>
      </c>
      <c r="J24" s="9">
        <f t="shared" si="2"/>
        <v>0.29997330772680764</v>
      </c>
      <c r="K24" s="9">
        <f t="shared" si="3"/>
        <v>0.4067240619094409</v>
      </c>
      <c r="L24" s="9">
        <f t="shared" si="4"/>
        <v>0.5134748160920741</v>
      </c>
      <c r="M24" s="9">
        <f t="shared" si="5"/>
        <v>0.6202255702747075</v>
      </c>
      <c r="N24" s="9">
        <f t="shared" si="6"/>
        <v>0.7269763244573407</v>
      </c>
      <c r="O24" s="9">
        <f t="shared" si="7"/>
        <v>0.8702255702747075</v>
      </c>
      <c r="P24" s="9">
        <f>sunrise(Location!$B$4,Location!$B$5,Location!$B$6,12,A24,Location!$B$7,0)</f>
        <v>0.29997330772680764</v>
      </c>
      <c r="Q24" s="9">
        <f>sunset(Location!$B$4,Location!$B$5,Location!$B$6,12,A24,Location!$B$7,0)</f>
        <v>0.7269763244573407</v>
      </c>
      <c r="R24" s="9">
        <f t="shared" si="8"/>
        <v>0.4270030167305331</v>
      </c>
      <c r="S24" s="10">
        <f t="shared" si="9"/>
        <v>0.03558358472754442</v>
      </c>
      <c r="T24" s="9">
        <f t="shared" si="10"/>
        <v>23.572996983269466</v>
      </c>
      <c r="U24" s="10">
        <f t="shared" si="11"/>
        <v>0.04774974860578891</v>
      </c>
    </row>
    <row r="25" spans="1:21" ht="12.75">
      <c r="A25" s="5">
        <v>23</v>
      </c>
      <c r="B25" s="6" t="str">
        <f t="shared" si="14"/>
        <v>Wednesday</v>
      </c>
      <c r="C25" s="59"/>
      <c r="D25" s="7"/>
      <c r="E25" s="8" t="s">
        <v>36</v>
      </c>
      <c r="F25" s="6" t="s">
        <v>112</v>
      </c>
      <c r="G25" s="82"/>
      <c r="H25" s="9">
        <f t="shared" si="0"/>
        <v>12.01382265697575</v>
      </c>
      <c r="I25" s="9">
        <f t="shared" si="1"/>
        <v>6.1570605520792965</v>
      </c>
      <c r="J25" s="9">
        <f t="shared" si="2"/>
        <v>0.3002984471828436</v>
      </c>
      <c r="K25" s="9">
        <f t="shared" si="3"/>
        <v>0.40706055207929726</v>
      </c>
      <c r="L25" s="9">
        <f t="shared" si="4"/>
        <v>0.5138226569757509</v>
      </c>
      <c r="M25" s="9">
        <f t="shared" si="5"/>
        <v>0.6205847618722047</v>
      </c>
      <c r="N25" s="9">
        <f t="shared" si="6"/>
        <v>0.7273468667686583</v>
      </c>
      <c r="O25" s="9">
        <f t="shared" si="7"/>
        <v>0.8705847618722047</v>
      </c>
      <c r="P25" s="9">
        <f>sunrise(Location!$B$4,Location!$B$5,Location!$B$6,12,A25,Location!$B$7,0)</f>
        <v>0.3002984471828436</v>
      </c>
      <c r="Q25" s="9">
        <f>sunset(Location!$B$4,Location!$B$5,Location!$B$6,12,A25,Location!$B$7,0)</f>
        <v>0.7273468667686583</v>
      </c>
      <c r="R25" s="9">
        <f t="shared" si="8"/>
        <v>0.42704841958581474</v>
      </c>
      <c r="S25" s="10">
        <f t="shared" si="9"/>
        <v>0.035587368298817895</v>
      </c>
      <c r="T25" s="9">
        <f t="shared" si="10"/>
        <v>23.572951580414184</v>
      </c>
      <c r="U25" s="10">
        <f t="shared" si="11"/>
        <v>0.047745965034515434</v>
      </c>
    </row>
    <row r="26" spans="1:21" ht="12.75">
      <c r="A26" s="5">
        <v>24</v>
      </c>
      <c r="B26" s="6" t="str">
        <f t="shared" si="14"/>
        <v>Thursday</v>
      </c>
      <c r="C26" s="59"/>
      <c r="D26" s="92" t="s">
        <v>64</v>
      </c>
      <c r="E26" s="8" t="s">
        <v>17</v>
      </c>
      <c r="F26" s="6" t="s">
        <v>113</v>
      </c>
      <c r="G26" s="82"/>
      <c r="H26" s="9">
        <f t="shared" si="0"/>
        <v>12.014170086306017</v>
      </c>
      <c r="I26" s="9">
        <f t="shared" si="1"/>
        <v>6.157389214671084</v>
      </c>
      <c r="J26" s="9">
        <f t="shared" si="2"/>
        <v>0.3006083430361506</v>
      </c>
      <c r="K26" s="9">
        <f t="shared" si="3"/>
        <v>0.40738921467108324</v>
      </c>
      <c r="L26" s="9">
        <f t="shared" si="4"/>
        <v>0.5141700863060159</v>
      </c>
      <c r="M26" s="9">
        <f t="shared" si="5"/>
        <v>0.6209509579409487</v>
      </c>
      <c r="N26" s="9">
        <f t="shared" si="6"/>
        <v>0.7277318295758813</v>
      </c>
      <c r="O26" s="9">
        <f t="shared" si="7"/>
        <v>0.8709509579409487</v>
      </c>
      <c r="P26" s="9">
        <f>sunrise(Location!$B$4,Location!$B$5,Location!$B$6,12,A26,Location!$B$7,0)</f>
        <v>0.3006083430361506</v>
      </c>
      <c r="Q26" s="9">
        <f>sunset(Location!$B$4,Location!$B$5,Location!$B$6,12,A26,Location!$B$7,0)</f>
        <v>0.7277318295758813</v>
      </c>
      <c r="R26" s="9">
        <f t="shared" si="8"/>
        <v>0.42712348653973076</v>
      </c>
      <c r="S26" s="10">
        <f t="shared" si="9"/>
        <v>0.035593623878310894</v>
      </c>
      <c r="T26" s="9">
        <f t="shared" si="10"/>
        <v>23.57287651346027</v>
      </c>
      <c r="U26" s="10">
        <f t="shared" si="11"/>
        <v>0.047739709455022435</v>
      </c>
    </row>
    <row r="27" spans="1:21" ht="12.75">
      <c r="A27" s="5">
        <v>25</v>
      </c>
      <c r="B27" s="6" t="str">
        <f t="shared" si="14"/>
        <v>Friday</v>
      </c>
      <c r="C27" s="59"/>
      <c r="D27" s="92" t="s">
        <v>67</v>
      </c>
      <c r="E27" s="8" t="s">
        <v>21</v>
      </c>
      <c r="F27" s="6" t="s">
        <v>114</v>
      </c>
      <c r="G27" s="44" t="s">
        <v>152</v>
      </c>
      <c r="H27" s="9">
        <f t="shared" si="0"/>
        <v>12.014516717804078</v>
      </c>
      <c r="I27" s="9">
        <f t="shared" si="1"/>
        <v>6.157709678117117</v>
      </c>
      <c r="J27" s="9">
        <f t="shared" si="2"/>
        <v>0.30090263843015486</v>
      </c>
      <c r="K27" s="9">
        <f t="shared" si="3"/>
        <v>0.4077096781171163</v>
      </c>
      <c r="L27" s="9">
        <f t="shared" si="4"/>
        <v>0.5145167178040777</v>
      </c>
      <c r="M27" s="9">
        <f t="shared" si="5"/>
        <v>0.6213237574910392</v>
      </c>
      <c r="N27" s="9">
        <f t="shared" si="6"/>
        <v>0.7281307971780007</v>
      </c>
      <c r="O27" s="9">
        <f t="shared" si="7"/>
        <v>0.8713237574910392</v>
      </c>
      <c r="P27" s="9">
        <f>sunrise(Location!$B$4,Location!$B$5,Location!$B$6,12,A27,Location!$B$7,0)</f>
        <v>0.30090263843015486</v>
      </c>
      <c r="Q27" s="9">
        <f>sunset(Location!$B$4,Location!$B$5,Location!$B$6,12,A27,Location!$B$7,0)</f>
        <v>0.7281307971780007</v>
      </c>
      <c r="R27" s="9">
        <f t="shared" si="8"/>
        <v>0.4272281587478458</v>
      </c>
      <c r="S27" s="10">
        <f t="shared" si="9"/>
        <v>0.03560234656232048</v>
      </c>
      <c r="T27" s="9">
        <f t="shared" si="10"/>
        <v>23.572771841252155</v>
      </c>
      <c r="U27" s="10">
        <f t="shared" si="11"/>
        <v>0.04773098677101285</v>
      </c>
    </row>
    <row r="28" spans="1:21" ht="12.75">
      <c r="A28" s="5">
        <v>26</v>
      </c>
      <c r="B28" s="6" t="str">
        <f t="shared" si="14"/>
        <v>Saturday</v>
      </c>
      <c r="C28" s="59"/>
      <c r="D28" s="92" t="s">
        <v>69</v>
      </c>
      <c r="E28" s="8" t="s">
        <v>24</v>
      </c>
      <c r="F28" s="6" t="s">
        <v>116</v>
      </c>
      <c r="G28" s="47" t="s">
        <v>232</v>
      </c>
      <c r="H28" s="9">
        <f t="shared" si="0"/>
        <v>12.01486216694241</v>
      </c>
      <c r="I28" s="9">
        <f t="shared" si="1"/>
        <v>6.158021579543025</v>
      </c>
      <c r="J28" s="9">
        <f t="shared" si="2"/>
        <v>0.30118099214364125</v>
      </c>
      <c r="K28" s="9">
        <f t="shared" si="3"/>
        <v>0.4080215795430254</v>
      </c>
      <c r="L28" s="9">
        <f t="shared" si="4"/>
        <v>0.5148621669424096</v>
      </c>
      <c r="M28" s="9">
        <f t="shared" si="5"/>
        <v>0.6217027543417938</v>
      </c>
      <c r="N28" s="9">
        <f t="shared" si="6"/>
        <v>0.728543341741178</v>
      </c>
      <c r="O28" s="9">
        <f t="shared" si="7"/>
        <v>0.8717027543417938</v>
      </c>
      <c r="P28" s="9">
        <f>sunrise(Location!$B$4,Location!$B$5,Location!$B$6,12,A28,Location!$B$7,0)</f>
        <v>0.30118099214364125</v>
      </c>
      <c r="Q28" s="9">
        <f>sunset(Location!$B$4,Location!$B$5,Location!$B$6,12,A28,Location!$B$7,0)</f>
        <v>0.728543341741178</v>
      </c>
      <c r="R28" s="9">
        <f t="shared" si="8"/>
        <v>0.4273623495975367</v>
      </c>
      <c r="S28" s="10">
        <f t="shared" si="9"/>
        <v>0.03561352913312806</v>
      </c>
      <c r="T28" s="9">
        <f t="shared" si="10"/>
        <v>23.572637650402463</v>
      </c>
      <c r="U28" s="10">
        <f t="shared" si="11"/>
        <v>0.04771980420020527</v>
      </c>
    </row>
    <row r="29" spans="1:21" ht="12.75">
      <c r="A29" s="5">
        <v>27</v>
      </c>
      <c r="B29" s="6" t="str">
        <f t="shared" si="14"/>
        <v>Sunday</v>
      </c>
      <c r="C29" s="59"/>
      <c r="D29" s="7"/>
      <c r="E29" s="8" t="s">
        <v>26</v>
      </c>
      <c r="F29" s="6" t="s">
        <v>117</v>
      </c>
      <c r="G29" s="130" t="s">
        <v>327</v>
      </c>
      <c r="H29" s="9">
        <f t="shared" si="0"/>
        <v>12.015206051594083</v>
      </c>
      <c r="I29" s="9">
        <f t="shared" si="1"/>
        <v>6.158324565345015</v>
      </c>
      <c r="J29" s="9">
        <f t="shared" si="2"/>
        <v>0.30144307909594714</v>
      </c>
      <c r="K29" s="9">
        <f t="shared" si="3"/>
        <v>0.408324565345015</v>
      </c>
      <c r="L29" s="9">
        <f t="shared" si="4"/>
        <v>0.5152060515940828</v>
      </c>
      <c r="M29" s="9">
        <f t="shared" si="5"/>
        <v>0.6220875378431506</v>
      </c>
      <c r="N29" s="9">
        <f t="shared" si="6"/>
        <v>0.7289690240922184</v>
      </c>
      <c r="O29" s="9">
        <f t="shared" si="7"/>
        <v>0.8720875378431505</v>
      </c>
      <c r="P29" s="9">
        <f>sunrise(Location!$B$4,Location!$B$5,Location!$B$6,12,A29,Location!$B$7,0)</f>
        <v>0.30144307909594714</v>
      </c>
      <c r="Q29" s="9">
        <f>sunset(Location!$B$4,Location!$B$5,Location!$B$6,12,A29,Location!$B$7,0)</f>
        <v>0.7289690240922184</v>
      </c>
      <c r="R29" s="9">
        <f t="shared" si="8"/>
        <v>0.4275259449962713</v>
      </c>
      <c r="S29" s="10">
        <f t="shared" si="9"/>
        <v>0.03562716208302261</v>
      </c>
      <c r="T29" s="9">
        <f t="shared" si="10"/>
        <v>23.572474055003727</v>
      </c>
      <c r="U29" s="10">
        <f t="shared" si="11"/>
        <v>0.04770617125031072</v>
      </c>
    </row>
    <row r="30" spans="1:21" ht="12.75">
      <c r="A30" s="5">
        <v>28</v>
      </c>
      <c r="B30" s="6" t="str">
        <f t="shared" si="14"/>
        <v>Monday</v>
      </c>
      <c r="C30" s="59"/>
      <c r="D30" s="92" t="s">
        <v>72</v>
      </c>
      <c r="E30" s="8" t="s">
        <v>29</v>
      </c>
      <c r="F30" s="6" t="s">
        <v>118</v>
      </c>
      <c r="G30" s="49" t="s">
        <v>153</v>
      </c>
      <c r="H30" s="9">
        <f t="shared" si="0"/>
        <v>12.015547992674998</v>
      </c>
      <c r="I30" s="9">
        <f t="shared" si="1"/>
        <v>6.158618291737534</v>
      </c>
      <c r="J30" s="9">
        <f t="shared" si="2"/>
        <v>0.30168859080007054</v>
      </c>
      <c r="K30" s="9">
        <f t="shared" si="3"/>
        <v>0.40861829173753483</v>
      </c>
      <c r="L30" s="9">
        <f t="shared" si="4"/>
        <v>0.5155479926749992</v>
      </c>
      <c r="M30" s="9">
        <f t="shared" si="5"/>
        <v>0.6224776936124634</v>
      </c>
      <c r="N30" s="9">
        <f t="shared" si="6"/>
        <v>0.7294073945499278</v>
      </c>
      <c r="O30" s="9">
        <f t="shared" si="7"/>
        <v>0.8724776936124634</v>
      </c>
      <c r="P30" s="9">
        <f>sunrise(Location!$B$4,Location!$B$5,Location!$B$6,12,A30,Location!$B$7,0)</f>
        <v>0.30168859080007054</v>
      </c>
      <c r="Q30" s="9">
        <f>sunset(Location!$B$4,Location!$B$5,Location!$B$6,12,A30,Location!$B$7,0)</f>
        <v>0.7294073945499278</v>
      </c>
      <c r="R30" s="9">
        <f t="shared" si="8"/>
        <v>0.4277188037498572</v>
      </c>
      <c r="S30" s="10">
        <f t="shared" si="9"/>
        <v>0.035643233645821434</v>
      </c>
      <c r="T30" s="9">
        <f t="shared" si="10"/>
        <v>23.57228119625014</v>
      </c>
      <c r="U30" s="10">
        <f t="shared" si="11"/>
        <v>0.047690099687511894</v>
      </c>
    </row>
    <row r="31" spans="1:21" ht="12.75">
      <c r="A31" s="5">
        <v>29</v>
      </c>
      <c r="B31" s="6" t="str">
        <f>B3</f>
        <v>Tuesday</v>
      </c>
      <c r="C31" s="59"/>
      <c r="D31" s="92" t="s">
        <v>75</v>
      </c>
      <c r="E31" s="8" t="s">
        <v>32</v>
      </c>
      <c r="F31" s="6" t="s">
        <v>119</v>
      </c>
      <c r="G31" s="95" t="s">
        <v>154</v>
      </c>
      <c r="H31" s="9">
        <f t="shared" si="0"/>
        <v>12.015887614777975</v>
      </c>
      <c r="I31" s="9">
        <f t="shared" si="1"/>
        <v>6.158902425270631</v>
      </c>
      <c r="J31" s="9">
        <f t="shared" si="2"/>
        <v>0.30191723576328555</v>
      </c>
      <c r="K31" s="9">
        <f t="shared" si="3"/>
        <v>0.40890242527063103</v>
      </c>
      <c r="L31" s="9">
        <f t="shared" si="4"/>
        <v>0.5158876147779765</v>
      </c>
      <c r="M31" s="9">
        <f t="shared" si="5"/>
        <v>0.622872804285322</v>
      </c>
      <c r="N31" s="9">
        <f t="shared" si="6"/>
        <v>0.7298579937926675</v>
      </c>
      <c r="O31" s="9">
        <f t="shared" si="7"/>
        <v>0.872872804285322</v>
      </c>
      <c r="P31" s="9">
        <f>sunrise(Location!$B$4,Location!$B$5,Location!$B$6,12,A31,Location!$B$7,0)</f>
        <v>0.30191723576328555</v>
      </c>
      <c r="Q31" s="9">
        <f>sunset(Location!$B$4,Location!$B$5,Location!$B$6,12,A31,Location!$B$7,0)</f>
        <v>0.7298579937926675</v>
      </c>
      <c r="R31" s="9">
        <f t="shared" si="8"/>
        <v>0.4279407580293819</v>
      </c>
      <c r="S31" s="10">
        <f t="shared" si="9"/>
        <v>0.03566172983578183</v>
      </c>
      <c r="T31" s="9">
        <f t="shared" si="10"/>
        <v>23.572059241970617</v>
      </c>
      <c r="U31" s="10">
        <f t="shared" si="11"/>
        <v>0.0476716034975515</v>
      </c>
    </row>
    <row r="32" spans="1:21" ht="12.75">
      <c r="A32" s="5">
        <v>30</v>
      </c>
      <c r="B32" s="6" t="str">
        <f>B4</f>
        <v>Wednesday</v>
      </c>
      <c r="C32" s="59"/>
      <c r="D32" s="7"/>
      <c r="E32" s="8" t="s">
        <v>36</v>
      </c>
      <c r="F32" s="6" t="s">
        <v>120</v>
      </c>
      <c r="G32" s="50"/>
      <c r="H32" s="9">
        <f t="shared" si="0"/>
        <v>12.016224546797247</v>
      </c>
      <c r="I32" s="9">
        <f t="shared" si="1"/>
        <v>6.159176643316165</v>
      </c>
      <c r="J32" s="9">
        <f t="shared" si="2"/>
        <v>0.3021287398350845</v>
      </c>
      <c r="K32" s="9">
        <f t="shared" si="3"/>
        <v>0.4091766433161657</v>
      </c>
      <c r="L32" s="9">
        <f t="shared" si="4"/>
        <v>0.5162245467972469</v>
      </c>
      <c r="M32" s="9">
        <f t="shared" si="5"/>
        <v>0.6232724502783282</v>
      </c>
      <c r="N32" s="9">
        <f t="shared" si="6"/>
        <v>0.7303203537594094</v>
      </c>
      <c r="O32" s="9">
        <f t="shared" si="7"/>
        <v>0.8732724502783282</v>
      </c>
      <c r="P32" s="9">
        <f>sunrise(Location!$B$4,Location!$B$5,Location!$B$6,12,A32,Location!$B$7,0)</f>
        <v>0.3021287398350845</v>
      </c>
      <c r="Q32" s="9">
        <f>sunset(Location!$B$4,Location!$B$5,Location!$B$6,12,A32,Location!$B$7,0)</f>
        <v>0.7303203537594094</v>
      </c>
      <c r="R32" s="9">
        <f t="shared" si="8"/>
        <v>0.4281916139243249</v>
      </c>
      <c r="S32" s="10">
        <f t="shared" si="9"/>
        <v>0.03568263449369374</v>
      </c>
      <c r="T32" s="9">
        <f t="shared" si="10"/>
        <v>23.571808386075674</v>
      </c>
      <c r="U32" s="10">
        <f t="shared" si="11"/>
        <v>0.047650698839639585</v>
      </c>
    </row>
    <row r="33" spans="1:21" ht="12.75">
      <c r="A33" s="5">
        <v>31</v>
      </c>
      <c r="B33" s="6" t="str">
        <f>B5</f>
        <v>Thursday</v>
      </c>
      <c r="C33" s="59"/>
      <c r="D33" s="94" t="s">
        <v>20</v>
      </c>
      <c r="E33" s="8" t="s">
        <v>17</v>
      </c>
      <c r="F33" s="6" t="s">
        <v>78</v>
      </c>
      <c r="G33" s="50"/>
      <c r="H33" s="9">
        <f t="shared" si="0"/>
        <v>12.01655842254105</v>
      </c>
      <c r="I33" s="9">
        <f t="shared" si="1"/>
        <v>6.159440634521976</v>
      </c>
      <c r="J33" s="9">
        <f t="shared" si="2"/>
        <v>0.30232284650290225</v>
      </c>
      <c r="K33" s="9">
        <f t="shared" si="3"/>
        <v>0.40944063452197677</v>
      </c>
      <c r="L33" s="9">
        <f t="shared" si="4"/>
        <v>0.5165584225410513</v>
      </c>
      <c r="M33" s="9">
        <f t="shared" si="5"/>
        <v>0.6236762105601259</v>
      </c>
      <c r="N33" s="9">
        <f t="shared" si="6"/>
        <v>0.7307939985792004</v>
      </c>
      <c r="O33" s="9">
        <f t="shared" si="7"/>
        <v>0.8736762105601258</v>
      </c>
      <c r="P33" s="9">
        <f>sunrise(Location!$B$4,Location!$B$5,Location!$B$6,12,A33,Location!$B$7,0)</f>
        <v>0.30232284650290225</v>
      </c>
      <c r="Q33" s="9">
        <f>sunset(Location!$B$4,Location!$B$5,Location!$B$6,12,A33,Location!$B$7,0)</f>
        <v>0.7307939985792004</v>
      </c>
      <c r="R33" s="9">
        <f t="shared" si="8"/>
        <v>0.4284711520762981</v>
      </c>
      <c r="S33" s="10">
        <f t="shared" si="9"/>
        <v>0.03570592933969151</v>
      </c>
      <c r="T33" s="9">
        <f t="shared" si="10"/>
        <v>23.5715288479237</v>
      </c>
      <c r="U33" s="10">
        <f t="shared" si="11"/>
        <v>0.04762740399364182</v>
      </c>
    </row>
    <row r="34" spans="3:7" ht="12.75">
      <c r="C34" s="60"/>
      <c r="E34" s="13"/>
      <c r="G34" s="80"/>
    </row>
    <row r="35" spans="1:5" ht="12.75">
      <c r="A35" s="6"/>
      <c r="E35" s="13"/>
    </row>
    <row r="36" spans="4:5" ht="12.75">
      <c r="D36" s="52"/>
      <c r="E36" s="13"/>
    </row>
    <row r="37" spans="3:5" ht="12.75">
      <c r="C37" s="58" t="str">
        <f>IF(Location!B9="No",Location!C13,Location!C14)</f>
        <v>D</v>
      </c>
      <c r="E37" s="13"/>
    </row>
    <row r="38" ht="12.75">
      <c r="E38" s="13"/>
    </row>
    <row r="39" ht="12.75">
      <c r="E39" s="11"/>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sheetPr codeName="Sheet16"/>
  <dimension ref="A1:H105"/>
  <sheetViews>
    <sheetView zoomScalePageLayoutView="0" workbookViewId="0" topLeftCell="A1">
      <selection activeCell="D14" sqref="D14"/>
    </sheetView>
  </sheetViews>
  <sheetFormatPr defaultColWidth="9.140625" defaultRowHeight="12.75"/>
  <cols>
    <col min="1" max="1" width="2.7109375" style="68" customWidth="1"/>
    <col min="2" max="2" width="30.7109375" style="68" customWidth="1"/>
    <col min="3" max="3" width="2.7109375" style="68" customWidth="1"/>
    <col min="4" max="16384" width="9.140625" style="68" customWidth="1"/>
  </cols>
  <sheetData>
    <row r="1" spans="1:3" ht="11.25" customHeight="1">
      <c r="A1" s="146" t="s">
        <v>182</v>
      </c>
      <c r="B1" s="146"/>
      <c r="C1" s="146"/>
    </row>
    <row r="2" spans="1:4" ht="11.25" customHeight="1">
      <c r="A2" s="63">
        <v>1</v>
      </c>
      <c r="B2" s="69" t="s">
        <v>19</v>
      </c>
      <c r="C2" s="67"/>
      <c r="D2" s="68" t="s">
        <v>246</v>
      </c>
    </row>
    <row r="3" spans="1:4" ht="11.25" customHeight="1">
      <c r="A3" s="63">
        <v>5</v>
      </c>
      <c r="B3" s="72" t="s">
        <v>31</v>
      </c>
      <c r="C3" s="67"/>
      <c r="D3" s="68" t="s">
        <v>247</v>
      </c>
    </row>
    <row r="4" spans="1:4" ht="11.25" customHeight="1">
      <c r="A4" s="63">
        <v>6</v>
      </c>
      <c r="B4" s="69" t="s">
        <v>34</v>
      </c>
      <c r="C4" s="67"/>
      <c r="D4" s="68" t="s">
        <v>251</v>
      </c>
    </row>
    <row r="5" spans="1:4" ht="11.25" customHeight="1">
      <c r="A5" s="63">
        <v>13</v>
      </c>
      <c r="B5" s="69" t="s">
        <v>248</v>
      </c>
      <c r="C5" s="67"/>
      <c r="D5" s="68" t="s">
        <v>249</v>
      </c>
    </row>
    <row r="6" spans="1:4" ht="11.25" customHeight="1">
      <c r="A6" s="63">
        <v>15</v>
      </c>
      <c r="B6" s="69" t="s">
        <v>250</v>
      </c>
      <c r="C6" s="67"/>
      <c r="D6" s="79" t="s">
        <v>252</v>
      </c>
    </row>
    <row r="7" spans="1:4" ht="11.25" customHeight="1">
      <c r="A7" s="63">
        <v>18</v>
      </c>
      <c r="B7" s="69" t="s">
        <v>253</v>
      </c>
      <c r="C7" s="67"/>
      <c r="D7" s="79" t="s">
        <v>254</v>
      </c>
    </row>
    <row r="8" spans="1:4" ht="11.25" customHeight="1">
      <c r="A8" s="63">
        <v>19</v>
      </c>
      <c r="B8" s="100" t="s">
        <v>58</v>
      </c>
      <c r="C8" s="67"/>
      <c r="D8" s="79" t="s">
        <v>255</v>
      </c>
    </row>
    <row r="9" spans="1:4" ht="11.25" customHeight="1">
      <c r="A9" s="63">
        <v>20</v>
      </c>
      <c r="B9" s="115" t="s">
        <v>256</v>
      </c>
      <c r="C9" s="67"/>
      <c r="D9" s="79" t="s">
        <v>257</v>
      </c>
    </row>
    <row r="10" spans="1:4" ht="11.25" customHeight="1">
      <c r="A10" s="63">
        <v>21</v>
      </c>
      <c r="B10" s="115" t="s">
        <v>258</v>
      </c>
      <c r="C10" s="67"/>
      <c r="D10" s="79" t="s">
        <v>259</v>
      </c>
    </row>
    <row r="11" spans="1:4" ht="11.25" customHeight="1">
      <c r="A11" s="63">
        <v>22</v>
      </c>
      <c r="B11" s="115" t="s">
        <v>260</v>
      </c>
      <c r="C11" s="67"/>
      <c r="D11" s="79" t="s">
        <v>261</v>
      </c>
    </row>
    <row r="12" spans="1:3" ht="11.25" customHeight="1">
      <c r="A12" s="63">
        <v>25</v>
      </c>
      <c r="B12" s="69" t="s">
        <v>235</v>
      </c>
      <c r="C12" s="67"/>
    </row>
    <row r="13" spans="1:3" ht="11.25" customHeight="1">
      <c r="A13" s="63">
        <v>26</v>
      </c>
      <c r="B13" s="73" t="s">
        <v>184</v>
      </c>
      <c r="C13" s="67"/>
    </row>
    <row r="14" spans="1:4" ht="11.25" customHeight="1">
      <c r="A14" s="63">
        <v>28</v>
      </c>
      <c r="B14" s="73" t="s">
        <v>74</v>
      </c>
      <c r="C14" s="67"/>
      <c r="D14" s="79" t="s">
        <v>262</v>
      </c>
    </row>
    <row r="15" spans="1:3" ht="11.25" customHeight="1">
      <c r="A15" s="67"/>
      <c r="B15" s="67"/>
      <c r="C15" s="67"/>
    </row>
    <row r="16" spans="1:3" ht="11.25" customHeight="1">
      <c r="A16" s="146" t="s">
        <v>183</v>
      </c>
      <c r="B16" s="146"/>
      <c r="C16" s="146"/>
    </row>
    <row r="17" spans="1:3" ht="11.25" customHeight="1">
      <c r="A17" s="63">
        <v>1</v>
      </c>
      <c r="B17" s="71" t="s">
        <v>185</v>
      </c>
      <c r="C17" s="67"/>
    </row>
    <row r="18" spans="1:3" ht="11.25" customHeight="1">
      <c r="A18" s="63">
        <v>2</v>
      </c>
      <c r="B18" s="64" t="s">
        <v>79</v>
      </c>
      <c r="C18" s="67"/>
    </row>
    <row r="19" spans="1:3" ht="11.25" customHeight="1">
      <c r="A19" s="63">
        <v>14</v>
      </c>
      <c r="B19" s="71" t="s">
        <v>80</v>
      </c>
      <c r="C19" s="67"/>
    </row>
    <row r="20" spans="1:3" ht="11.25" customHeight="1">
      <c r="A20" s="63">
        <v>20</v>
      </c>
      <c r="B20" s="71" t="s">
        <v>81</v>
      </c>
      <c r="C20" s="67"/>
    </row>
    <row r="21" spans="1:3" ht="11.25" customHeight="1">
      <c r="A21" s="63">
        <v>24</v>
      </c>
      <c r="B21" s="70" t="s">
        <v>82</v>
      </c>
      <c r="C21" s="67"/>
    </row>
    <row r="22" spans="1:3" ht="11.25" customHeight="1">
      <c r="A22" s="63">
        <v>25</v>
      </c>
      <c r="B22" s="71" t="s">
        <v>186</v>
      </c>
      <c r="C22" s="67"/>
    </row>
    <row r="23" spans="1:3" ht="11.25" customHeight="1">
      <c r="A23" s="63"/>
      <c r="B23" s="65"/>
      <c r="C23" s="67"/>
    </row>
    <row r="24" spans="1:3" ht="11.25" customHeight="1">
      <c r="A24" s="146" t="s">
        <v>187</v>
      </c>
      <c r="B24" s="146"/>
      <c r="C24" s="146"/>
    </row>
    <row r="25" spans="1:3" ht="11.25" customHeight="1">
      <c r="A25" s="63">
        <v>1</v>
      </c>
      <c r="B25" s="71" t="s">
        <v>89</v>
      </c>
      <c r="C25" s="67"/>
    </row>
    <row r="26" spans="1:3" ht="11.25" customHeight="1">
      <c r="A26" s="63">
        <v>2</v>
      </c>
      <c r="B26" s="71" t="s">
        <v>91</v>
      </c>
      <c r="C26" s="67"/>
    </row>
    <row r="27" spans="1:3" ht="11.25" customHeight="1">
      <c r="A27" s="63">
        <v>12</v>
      </c>
      <c r="B27" s="71" t="s">
        <v>100</v>
      </c>
      <c r="C27" s="67"/>
    </row>
    <row r="28" spans="1:3" ht="11.25" customHeight="1">
      <c r="A28" s="63">
        <v>17</v>
      </c>
      <c r="B28" s="71" t="s">
        <v>104</v>
      </c>
      <c r="C28" s="67"/>
    </row>
    <row r="29" spans="1:3" ht="11.25" customHeight="1">
      <c r="A29" s="63">
        <v>18</v>
      </c>
      <c r="B29" s="71" t="s">
        <v>106</v>
      </c>
      <c r="C29" s="67"/>
    </row>
    <row r="30" spans="1:3" ht="11.25" customHeight="1">
      <c r="A30" s="63">
        <v>19</v>
      </c>
      <c r="B30" s="71" t="s">
        <v>237</v>
      </c>
      <c r="C30" s="67"/>
    </row>
    <row r="31" spans="1:3" ht="11.25" customHeight="1">
      <c r="A31" s="63">
        <v>20</v>
      </c>
      <c r="B31" s="71" t="s">
        <v>109</v>
      </c>
      <c r="C31" s="67"/>
    </row>
    <row r="32" spans="1:3" ht="11.25" customHeight="1">
      <c r="A32" s="63">
        <v>21</v>
      </c>
      <c r="B32" s="71" t="s">
        <v>188</v>
      </c>
      <c r="C32" s="67"/>
    </row>
    <row r="33" spans="1:3" ht="11.25" customHeight="1">
      <c r="A33" s="63">
        <v>25</v>
      </c>
      <c r="B33" s="64" t="s">
        <v>115</v>
      </c>
      <c r="C33" s="67"/>
    </row>
    <row r="34" spans="1:3" ht="11.25" customHeight="1">
      <c r="A34" s="67"/>
      <c r="B34" s="67"/>
      <c r="C34" s="67"/>
    </row>
    <row r="35" spans="1:3" ht="11.25" customHeight="1">
      <c r="A35" s="146" t="s">
        <v>189</v>
      </c>
      <c r="B35" s="146"/>
      <c r="C35" s="146"/>
    </row>
    <row r="36" spans="1:3" ht="11.25" customHeight="1">
      <c r="A36" s="63">
        <v>3</v>
      </c>
      <c r="B36" s="64" t="s">
        <v>121</v>
      </c>
      <c r="C36" s="67"/>
    </row>
    <row r="37" spans="1:3" ht="11.25" customHeight="1">
      <c r="A37" s="63">
        <v>19</v>
      </c>
      <c r="B37" s="70" t="s">
        <v>125</v>
      </c>
      <c r="C37" s="67"/>
    </row>
    <row r="38" spans="1:3" ht="11.25" customHeight="1">
      <c r="A38" s="63">
        <v>21</v>
      </c>
      <c r="B38" s="99" t="s">
        <v>126</v>
      </c>
      <c r="C38" s="67"/>
    </row>
    <row r="39" spans="1:3" ht="11.25" customHeight="1">
      <c r="A39" s="63">
        <v>23</v>
      </c>
      <c r="B39" s="70" t="s">
        <v>127</v>
      </c>
      <c r="C39" s="67"/>
    </row>
    <row r="40" spans="1:3" ht="11.25" customHeight="1">
      <c r="A40" s="63">
        <v>25</v>
      </c>
      <c r="B40" s="77" t="s">
        <v>244</v>
      </c>
      <c r="C40" s="67"/>
    </row>
    <row r="41" spans="1:3" ht="11.25" customHeight="1">
      <c r="A41" s="67"/>
      <c r="B41" s="67"/>
      <c r="C41" s="67"/>
    </row>
    <row r="42" spans="1:3" ht="12.75">
      <c r="A42" s="146" t="s">
        <v>190</v>
      </c>
      <c r="B42" s="146"/>
      <c r="C42" s="146"/>
    </row>
    <row r="43" spans="1:3" ht="12.75">
      <c r="A43" s="67">
        <v>1</v>
      </c>
      <c r="B43" s="70" t="s">
        <v>245</v>
      </c>
      <c r="C43" s="78"/>
    </row>
    <row r="44" spans="1:3" ht="12.75">
      <c r="A44" s="67">
        <v>3</v>
      </c>
      <c r="B44" s="64" t="s">
        <v>129</v>
      </c>
      <c r="C44" s="78"/>
    </row>
    <row r="45" spans="1:8" ht="12.75">
      <c r="A45" s="67">
        <v>19</v>
      </c>
      <c r="B45" s="71" t="s">
        <v>239</v>
      </c>
      <c r="C45" s="67"/>
      <c r="D45" s="79"/>
      <c r="E45" s="79"/>
      <c r="G45" s="79"/>
      <c r="H45" s="79"/>
    </row>
    <row r="46" spans="1:5" ht="12.75">
      <c r="A46" s="67">
        <v>25</v>
      </c>
      <c r="B46" s="71" t="s">
        <v>130</v>
      </c>
      <c r="C46" s="67"/>
      <c r="D46" s="79"/>
      <c r="E46" s="79"/>
    </row>
    <row r="47" spans="1:5" ht="12.75">
      <c r="A47" s="67">
        <v>26</v>
      </c>
      <c r="B47" s="71" t="s">
        <v>240</v>
      </c>
      <c r="C47" s="78"/>
      <c r="D47" s="79"/>
      <c r="E47" s="79"/>
    </row>
    <row r="48" spans="1:5" ht="12.75">
      <c r="A48" s="67">
        <v>31</v>
      </c>
      <c r="B48" s="71" t="s">
        <v>131</v>
      </c>
      <c r="C48" s="78"/>
      <c r="D48" s="79"/>
      <c r="E48" s="79"/>
    </row>
    <row r="49" spans="1:3" ht="12.75">
      <c r="A49" s="67"/>
      <c r="B49" s="65"/>
      <c r="C49" s="78"/>
    </row>
    <row r="50" spans="1:3" ht="12.75">
      <c r="A50" s="146" t="s">
        <v>192</v>
      </c>
      <c r="B50" s="146"/>
      <c r="C50" s="146"/>
    </row>
    <row r="51" spans="1:3" ht="12.75">
      <c r="A51" s="74">
        <v>1</v>
      </c>
      <c r="B51" s="75" t="s">
        <v>134</v>
      </c>
      <c r="C51" s="67"/>
    </row>
    <row r="52" spans="1:3" ht="12.75">
      <c r="A52" s="74">
        <v>5</v>
      </c>
      <c r="B52" s="101" t="s">
        <v>209</v>
      </c>
      <c r="C52" s="67"/>
    </row>
    <row r="53" spans="1:3" ht="12.75">
      <c r="A53" s="67">
        <v>9</v>
      </c>
      <c r="B53" s="71" t="s">
        <v>135</v>
      </c>
      <c r="C53" s="67"/>
    </row>
    <row r="54" spans="1:3" ht="12.75">
      <c r="A54" s="67">
        <v>11</v>
      </c>
      <c r="B54" s="70" t="s">
        <v>220</v>
      </c>
      <c r="C54" s="67"/>
    </row>
    <row r="55" spans="1:3" ht="12.75">
      <c r="A55" s="67">
        <v>14</v>
      </c>
      <c r="B55" s="48" t="s">
        <v>136</v>
      </c>
      <c r="C55" s="67"/>
    </row>
    <row r="56" spans="1:3" ht="12.75">
      <c r="A56" s="67">
        <v>15</v>
      </c>
      <c r="B56" s="76" t="s">
        <v>193</v>
      </c>
      <c r="C56" s="67"/>
    </row>
    <row r="57" spans="1:3" ht="12.75">
      <c r="A57" s="67">
        <v>22</v>
      </c>
      <c r="B57" s="70" t="s">
        <v>137</v>
      </c>
      <c r="C57" s="67"/>
    </row>
    <row r="58" spans="1:3" ht="12.75">
      <c r="A58" s="67">
        <v>23</v>
      </c>
      <c r="B58" s="65" t="s">
        <v>138</v>
      </c>
      <c r="C58" s="67"/>
    </row>
    <row r="59" spans="1:3" ht="12.75">
      <c r="A59" s="67">
        <v>24</v>
      </c>
      <c r="B59" s="71" t="s">
        <v>139</v>
      </c>
      <c r="C59" s="67"/>
    </row>
    <row r="60" spans="1:3" ht="12.75">
      <c r="A60" s="67">
        <v>28</v>
      </c>
      <c r="B60" s="46" t="s">
        <v>140</v>
      </c>
      <c r="C60" s="67"/>
    </row>
    <row r="61" spans="1:3" ht="12.75">
      <c r="A61" s="67">
        <v>29</v>
      </c>
      <c r="B61" s="70" t="s">
        <v>221</v>
      </c>
      <c r="C61" s="67"/>
    </row>
    <row r="62" spans="1:3" ht="12.75">
      <c r="A62" s="67"/>
      <c r="B62" s="67"/>
      <c r="C62" s="67"/>
    </row>
    <row r="63" spans="1:3" ht="12.75">
      <c r="A63" s="146" t="s">
        <v>194</v>
      </c>
      <c r="B63" s="146"/>
      <c r="C63" s="146"/>
    </row>
    <row r="64" spans="1:3" ht="12.75">
      <c r="A64" s="67">
        <v>22</v>
      </c>
      <c r="B64" s="71" t="s">
        <v>222</v>
      </c>
      <c r="C64" s="67"/>
    </row>
    <row r="65" spans="1:3" ht="12.75">
      <c r="A65" s="67">
        <v>25</v>
      </c>
      <c r="B65" s="70" t="s">
        <v>223</v>
      </c>
      <c r="C65" s="67"/>
    </row>
    <row r="66" spans="1:3" ht="12.75">
      <c r="A66" s="67"/>
      <c r="B66" s="65"/>
      <c r="C66" s="67"/>
    </row>
    <row r="67" spans="1:3" ht="12.75">
      <c r="A67" s="146" t="s">
        <v>195</v>
      </c>
      <c r="B67" s="146"/>
      <c r="C67" s="146"/>
    </row>
    <row r="68" spans="1:3" ht="12.75">
      <c r="A68" s="67">
        <v>1</v>
      </c>
      <c r="B68" s="65" t="s">
        <v>196</v>
      </c>
      <c r="C68" s="67"/>
    </row>
    <row r="69" spans="1:3" ht="12.75">
      <c r="A69" s="67">
        <v>6</v>
      </c>
      <c r="B69" s="64" t="s">
        <v>141</v>
      </c>
      <c r="C69" s="67"/>
    </row>
    <row r="70" spans="1:3" ht="12.75">
      <c r="A70" s="67">
        <v>15</v>
      </c>
      <c r="B70" s="64" t="s">
        <v>224</v>
      </c>
      <c r="C70" s="67"/>
    </row>
    <row r="71" spans="1:3" ht="12.75">
      <c r="A71" s="67">
        <v>20</v>
      </c>
      <c r="B71" s="71" t="s">
        <v>143</v>
      </c>
      <c r="C71" s="67"/>
    </row>
    <row r="72" spans="1:3" ht="12.75">
      <c r="A72" s="67">
        <v>24</v>
      </c>
      <c r="B72" s="70" t="s">
        <v>225</v>
      </c>
      <c r="C72" s="67"/>
    </row>
    <row r="73" spans="1:3" ht="12.75">
      <c r="A73" s="67">
        <v>28</v>
      </c>
      <c r="B73" s="71" t="s">
        <v>218</v>
      </c>
      <c r="C73" s="67"/>
    </row>
    <row r="74" spans="1:3" ht="12.75">
      <c r="A74" s="67">
        <v>31</v>
      </c>
      <c r="B74" s="71" t="s">
        <v>144</v>
      </c>
      <c r="C74" s="67"/>
    </row>
    <row r="75" spans="1:3" ht="12.75">
      <c r="A75" s="67"/>
      <c r="B75" s="67"/>
      <c r="C75" s="78"/>
    </row>
    <row r="76" spans="1:3" ht="12.75">
      <c r="A76" s="146" t="s">
        <v>191</v>
      </c>
      <c r="B76" s="146"/>
      <c r="C76" s="146"/>
    </row>
    <row r="77" spans="1:3" ht="12.75">
      <c r="A77" s="67">
        <v>8</v>
      </c>
      <c r="B77" s="71" t="s">
        <v>145</v>
      </c>
      <c r="C77" s="67"/>
    </row>
    <row r="78" spans="1:3" ht="12.75">
      <c r="A78" s="67">
        <v>14</v>
      </c>
      <c r="B78" s="70" t="s">
        <v>146</v>
      </c>
      <c r="C78" s="67"/>
    </row>
    <row r="79" spans="1:3" ht="12.75">
      <c r="A79" s="67">
        <v>21</v>
      </c>
      <c r="B79" s="70" t="s">
        <v>226</v>
      </c>
      <c r="C79" s="67"/>
    </row>
    <row r="80" spans="1:3" ht="12.75">
      <c r="A80" s="67">
        <v>29</v>
      </c>
      <c r="B80" s="64" t="s">
        <v>241</v>
      </c>
      <c r="C80" s="67"/>
    </row>
    <row r="81" spans="1:3" ht="12.75">
      <c r="A81" s="67">
        <v>30</v>
      </c>
      <c r="B81" s="71" t="s">
        <v>147</v>
      </c>
      <c r="C81" s="67"/>
    </row>
    <row r="82" spans="1:3" ht="12.75">
      <c r="A82" s="67"/>
      <c r="B82" s="65"/>
      <c r="C82" s="67"/>
    </row>
    <row r="83" spans="1:3" ht="12.75">
      <c r="A83" s="146" t="s">
        <v>197</v>
      </c>
      <c r="B83" s="146"/>
      <c r="C83" s="146"/>
    </row>
    <row r="84" spans="1:3" ht="12.75">
      <c r="A84" s="67">
        <v>4</v>
      </c>
      <c r="B84" s="71" t="s">
        <v>227</v>
      </c>
      <c r="C84" s="78"/>
    </row>
    <row r="85" spans="1:3" ht="12.75">
      <c r="A85" s="67">
        <v>18</v>
      </c>
      <c r="B85" s="70" t="s">
        <v>228</v>
      </c>
      <c r="C85" s="67"/>
    </row>
    <row r="86" spans="1:3" ht="12.75">
      <c r="A86" s="67">
        <v>23</v>
      </c>
      <c r="B86" s="70" t="s">
        <v>229</v>
      </c>
      <c r="C86" s="67"/>
    </row>
    <row r="87" spans="1:3" ht="12.75">
      <c r="A87" s="67">
        <v>28</v>
      </c>
      <c r="B87" s="70" t="s">
        <v>242</v>
      </c>
      <c r="C87" s="67"/>
    </row>
    <row r="88" spans="1:3" ht="12.75">
      <c r="A88" s="67"/>
      <c r="B88" s="65"/>
      <c r="C88" s="67"/>
    </row>
    <row r="89" spans="1:3" ht="12.75">
      <c r="A89" s="146" t="s">
        <v>198</v>
      </c>
      <c r="B89" s="146"/>
      <c r="C89" s="146"/>
    </row>
    <row r="90" spans="1:3" ht="12.75">
      <c r="A90" s="67">
        <v>1</v>
      </c>
      <c r="B90" s="64" t="s">
        <v>148</v>
      </c>
      <c r="C90" s="67"/>
    </row>
    <row r="91" spans="1:3" ht="12.75">
      <c r="A91" s="67">
        <v>11</v>
      </c>
      <c r="B91" s="64" t="s">
        <v>219</v>
      </c>
      <c r="C91" s="67"/>
    </row>
    <row r="92" spans="1:3" ht="12.75">
      <c r="A92" s="67">
        <v>20</v>
      </c>
      <c r="B92" s="70" t="s">
        <v>149</v>
      </c>
      <c r="C92" s="67"/>
    </row>
    <row r="93" spans="1:3" ht="12.75">
      <c r="A93" s="67">
        <v>30</v>
      </c>
      <c r="B93" s="70" t="s">
        <v>230</v>
      </c>
      <c r="C93" s="67"/>
    </row>
    <row r="94" spans="1:3" ht="12.75">
      <c r="A94" s="67"/>
      <c r="B94" s="67"/>
      <c r="C94" s="67"/>
    </row>
    <row r="95" spans="1:3" ht="12.75">
      <c r="A95" s="146" t="s">
        <v>199</v>
      </c>
      <c r="B95" s="146"/>
      <c r="C95" s="146"/>
    </row>
    <row r="96" spans="1:3" ht="12.75">
      <c r="A96" s="67">
        <v>6</v>
      </c>
      <c r="B96" s="71" t="s">
        <v>150</v>
      </c>
      <c r="C96" s="67"/>
    </row>
    <row r="97" spans="1:3" ht="12.75">
      <c r="A97" s="67">
        <v>8</v>
      </c>
      <c r="B97" s="71" t="s">
        <v>151</v>
      </c>
      <c r="C97" s="67"/>
    </row>
    <row r="98" spans="1:3" ht="12.75">
      <c r="A98" s="67">
        <v>13</v>
      </c>
      <c r="B98" s="70" t="s">
        <v>213</v>
      </c>
      <c r="C98" s="67"/>
    </row>
    <row r="99" spans="1:3" ht="12.75">
      <c r="A99" s="67">
        <v>21</v>
      </c>
      <c r="B99" s="70" t="s">
        <v>231</v>
      </c>
      <c r="C99" s="67"/>
    </row>
    <row r="100" spans="1:3" ht="12.75">
      <c r="A100" s="67">
        <v>25</v>
      </c>
      <c r="B100" s="64" t="s">
        <v>152</v>
      </c>
      <c r="C100" s="67"/>
    </row>
    <row r="101" spans="1:3" ht="12.75">
      <c r="A101" s="67">
        <v>26</v>
      </c>
      <c r="B101" s="70" t="s">
        <v>232</v>
      </c>
      <c r="C101" s="67"/>
    </row>
    <row r="102" spans="1:3" ht="12.75">
      <c r="A102" s="67">
        <v>27</v>
      </c>
      <c r="B102" s="64" t="s">
        <v>233</v>
      </c>
      <c r="C102" s="67"/>
    </row>
    <row r="103" spans="1:3" ht="12.75">
      <c r="A103" s="67">
        <v>28</v>
      </c>
      <c r="B103" s="77" t="s">
        <v>153</v>
      </c>
      <c r="C103" s="67"/>
    </row>
    <row r="104" spans="1:3" ht="12.75">
      <c r="A104" s="67">
        <v>29</v>
      </c>
      <c r="B104" s="77" t="s">
        <v>154</v>
      </c>
      <c r="C104" s="67"/>
    </row>
    <row r="105" spans="1:3" ht="12.75">
      <c r="A105" s="67"/>
      <c r="B105" s="67"/>
      <c r="C105" s="67"/>
    </row>
  </sheetData>
  <sheetProtection/>
  <mergeCells count="12">
    <mergeCell ref="A1:C1"/>
    <mergeCell ref="A16:C16"/>
    <mergeCell ref="A24:C24"/>
    <mergeCell ref="A35:C35"/>
    <mergeCell ref="A76:C76"/>
    <mergeCell ref="A83:C83"/>
    <mergeCell ref="A89:C89"/>
    <mergeCell ref="A95:C95"/>
    <mergeCell ref="A42:C42"/>
    <mergeCell ref="A50:C50"/>
    <mergeCell ref="A63:C63"/>
    <mergeCell ref="A67:C67"/>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7"/>
  <dimension ref="A1:D38"/>
  <sheetViews>
    <sheetView zoomScalePageLayoutView="0" workbookViewId="0" topLeftCell="A1">
      <selection activeCell="D1" sqref="D1"/>
    </sheetView>
  </sheetViews>
  <sheetFormatPr defaultColWidth="9.140625" defaultRowHeight="12.75"/>
  <cols>
    <col min="1" max="1" width="13.421875" style="0" customWidth="1"/>
    <col min="2" max="2" width="21.57421875" style="0" customWidth="1"/>
  </cols>
  <sheetData>
    <row r="1" spans="1:3" ht="12.75">
      <c r="A1" s="84" t="s">
        <v>205</v>
      </c>
      <c r="B1" s="85"/>
      <c r="C1" s="86" t="str">
        <f>ROMAN(Location!B6,0)</f>
        <v>MMIX</v>
      </c>
    </row>
    <row r="2" spans="1:3" ht="12.75">
      <c r="A2" s="87">
        <f>A3-1</f>
        <v>39868</v>
      </c>
      <c r="B2" s="103" t="s">
        <v>200</v>
      </c>
      <c r="C2" s="104"/>
    </row>
    <row r="3" spans="1:3" ht="12.75">
      <c r="A3" s="87">
        <f>A10-46</f>
        <v>39869</v>
      </c>
      <c r="B3" s="105" t="s">
        <v>83</v>
      </c>
      <c r="C3" s="106"/>
    </row>
    <row r="4" spans="1:3" ht="12.75">
      <c r="A4" s="87">
        <f>A3+7</f>
        <v>39876</v>
      </c>
      <c r="B4" s="107" t="s">
        <v>212</v>
      </c>
      <c r="C4" s="108"/>
    </row>
    <row r="5" spans="1:3" ht="12.75">
      <c r="A5" s="87">
        <f>A4+2</f>
        <v>39878</v>
      </c>
      <c r="B5" s="107" t="s">
        <v>212</v>
      </c>
      <c r="C5" s="108"/>
    </row>
    <row r="6" spans="1:3" ht="12.75">
      <c r="A6" s="87">
        <f>A5+1</f>
        <v>39879</v>
      </c>
      <c r="B6" s="107" t="s">
        <v>212</v>
      </c>
      <c r="C6" s="108"/>
    </row>
    <row r="7" spans="1:3" ht="12.75">
      <c r="A7" s="87">
        <f>A10-7</f>
        <v>39908</v>
      </c>
      <c r="B7" s="109" t="s">
        <v>158</v>
      </c>
      <c r="C7" s="110"/>
    </row>
    <row r="8" spans="1:3" ht="12.75">
      <c r="A8" s="87">
        <f>A9-1</f>
        <v>39912</v>
      </c>
      <c r="B8" s="109" t="s">
        <v>201</v>
      </c>
      <c r="C8" s="110"/>
    </row>
    <row r="9" spans="1:3" ht="12.75">
      <c r="A9" s="87">
        <f>A10-2</f>
        <v>39913</v>
      </c>
      <c r="B9" s="111" t="s">
        <v>124</v>
      </c>
      <c r="C9" s="112"/>
    </row>
    <row r="10" spans="1:3" ht="12.75">
      <c r="A10" s="87">
        <f>EasterSunday(Location!$B$6)</f>
        <v>39915</v>
      </c>
      <c r="B10" s="113" t="s">
        <v>122</v>
      </c>
      <c r="C10" s="114"/>
    </row>
    <row r="11" spans="1:3" ht="12.75">
      <c r="A11" s="87">
        <f>A12-1</f>
        <v>39951</v>
      </c>
      <c r="B11" s="105" t="s">
        <v>214</v>
      </c>
      <c r="C11" s="106"/>
    </row>
    <row r="12" spans="1:3" ht="12.75">
      <c r="A12" s="87">
        <f>A13-1</f>
        <v>39952</v>
      </c>
      <c r="B12" s="105" t="s">
        <v>214</v>
      </c>
      <c r="C12" s="106"/>
    </row>
    <row r="13" spans="1:3" ht="12.75">
      <c r="A13" s="87">
        <f>A14-1</f>
        <v>39953</v>
      </c>
      <c r="B13" s="105" t="s">
        <v>214</v>
      </c>
      <c r="C13" s="106"/>
    </row>
    <row r="14" spans="1:3" ht="12.75">
      <c r="A14" s="87">
        <f>A15-10</f>
        <v>39954</v>
      </c>
      <c r="B14" s="113" t="s">
        <v>202</v>
      </c>
      <c r="C14" s="114"/>
    </row>
    <row r="15" spans="1:3" ht="12.75">
      <c r="A15" s="87">
        <f>A10+49</f>
        <v>39964</v>
      </c>
      <c r="B15" s="109" t="s">
        <v>210</v>
      </c>
      <c r="C15" s="110"/>
    </row>
    <row r="16" spans="1:3" ht="12.75">
      <c r="A16" s="87">
        <f>A15+3</f>
        <v>39967</v>
      </c>
      <c r="B16" s="107" t="s">
        <v>212</v>
      </c>
      <c r="C16" s="108"/>
    </row>
    <row r="17" spans="1:3" ht="12.75">
      <c r="A17" s="87">
        <f>A16+2</f>
        <v>39969</v>
      </c>
      <c r="B17" s="107" t="s">
        <v>212</v>
      </c>
      <c r="C17" s="108"/>
    </row>
    <row r="18" spans="1:3" ht="12.75">
      <c r="A18" s="87">
        <f>A17+1</f>
        <v>39970</v>
      </c>
      <c r="B18" s="107" t="s">
        <v>212</v>
      </c>
      <c r="C18" s="108"/>
    </row>
    <row r="19" spans="1:3" ht="12.75">
      <c r="A19" s="87">
        <f>A15+7</f>
        <v>39971</v>
      </c>
      <c r="B19" s="113" t="s">
        <v>203</v>
      </c>
      <c r="C19" s="114"/>
    </row>
    <row r="20" spans="1:3" ht="12.75">
      <c r="A20" s="87">
        <f>A15+11</f>
        <v>39975</v>
      </c>
      <c r="B20" s="113" t="s">
        <v>204</v>
      </c>
      <c r="C20" s="114"/>
    </row>
    <row r="21" spans="1:4" ht="12.75">
      <c r="A21" s="87">
        <f>IF(September!$B$16="Tuesday",D21+1,IF(September!$B$16="Monday",D21+2,IF(September!$B$16="Sunday",D21+3,IF(September!$B$16="Saturday",D21+4,IF(September!$B$16="Friday",D21+5,IF(September!$B$16="Thursday",D21+6,IF(September!$B$16="Wednesday",D21+7)))))))</f>
        <v>38246</v>
      </c>
      <c r="B21" s="107" t="s">
        <v>212</v>
      </c>
      <c r="C21" s="108"/>
      <c r="D21" s="88">
        <v>38244</v>
      </c>
    </row>
    <row r="22" spans="1:3" ht="12.75">
      <c r="A22" s="87">
        <f>A21+2</f>
        <v>38248</v>
      </c>
      <c r="B22" s="107" t="s">
        <v>212</v>
      </c>
      <c r="C22" s="108"/>
    </row>
    <row r="23" spans="1:3" ht="12.75">
      <c r="A23" s="87">
        <f>A22+1</f>
        <v>38249</v>
      </c>
      <c r="B23" s="107" t="s">
        <v>212</v>
      </c>
      <c r="C23" s="108"/>
    </row>
    <row r="24" spans="1:4" ht="12.75">
      <c r="A24" s="87">
        <f>IF(December!$B$27="Monday",D24-22,IF(December!$B$27="Tuesday",D24-23,IF(December!$B$27="Wednesday",D24-24,IF(December!$B$27="Thursday",D24-25,IF(December!$B$27="Friday",D24-26,IF(December!$B$27="Saturday",D24-27,IF(December!$B$27="Sunday",D24-28)))))))</f>
        <v>38320</v>
      </c>
      <c r="B24" s="105" t="s">
        <v>211</v>
      </c>
      <c r="C24" s="106"/>
      <c r="D24" s="88">
        <v>38346</v>
      </c>
    </row>
    <row r="25" spans="1:4" ht="12.75">
      <c r="A25" s="87">
        <f>IF(December!$B$15="Tuesday",D25+1,IF(December!$B$15="Monday",D25+2,IF(December!$B$15="Sunday",D25+3,IF(December!$B$15="Saturday",D25+4,IF(December!$B$15="Friday",D25+5,IF(December!$B$15="Thursday",D25+6,IF(December!$B$15="Wednesday",D25+7)))))))</f>
        <v>38337</v>
      </c>
      <c r="B25" s="107" t="s">
        <v>212</v>
      </c>
      <c r="C25" s="108"/>
      <c r="D25" s="88">
        <v>38334</v>
      </c>
    </row>
    <row r="26" spans="1:3" ht="12.75">
      <c r="A26" s="87">
        <f>A25+2</f>
        <v>38339</v>
      </c>
      <c r="B26" s="107" t="s">
        <v>212</v>
      </c>
      <c r="C26" s="108"/>
    </row>
    <row r="27" spans="1:3" ht="12.75">
      <c r="A27" s="87">
        <f>A26+1</f>
        <v>38340</v>
      </c>
      <c r="B27" s="107" t="s">
        <v>212</v>
      </c>
      <c r="C27" s="108"/>
    </row>
    <row r="28" ht="12.75">
      <c r="A28" s="1"/>
    </row>
    <row r="29" ht="12.75">
      <c r="A29" s="1"/>
    </row>
    <row r="30" ht="12.75">
      <c r="A30" s="1"/>
    </row>
    <row r="31" ht="12.75">
      <c r="A31" s="1"/>
    </row>
    <row r="32" ht="12.75">
      <c r="A32" s="81"/>
    </row>
    <row r="33" ht="12.75">
      <c r="A33" s="81"/>
    </row>
    <row r="34" ht="12.75">
      <c r="A34" s="1"/>
    </row>
    <row r="35" ht="12.75">
      <c r="A35" s="1"/>
    </row>
    <row r="36" ht="12.75">
      <c r="A36" s="1"/>
    </row>
    <row r="37" ht="12.75">
      <c r="A37" s="1"/>
    </row>
    <row r="38" ht="12.75">
      <c r="A38" s="1"/>
    </row>
  </sheetData>
  <sheetProtection/>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sheetPr codeName="Sheet15"/>
  <dimension ref="A1:J18"/>
  <sheetViews>
    <sheetView zoomScalePageLayoutView="0" workbookViewId="0" topLeftCell="A1">
      <selection activeCell="E12" sqref="E12"/>
    </sheetView>
  </sheetViews>
  <sheetFormatPr defaultColWidth="9.140625" defaultRowHeight="12.75"/>
  <cols>
    <col min="1" max="1" width="13.57421875" style="0" customWidth="1"/>
    <col min="2" max="2" width="12.57421875" style="0" customWidth="1"/>
    <col min="3" max="3" width="14.28125" style="0" bestFit="1" customWidth="1"/>
  </cols>
  <sheetData>
    <row r="1" spans="1:10" ht="12.75">
      <c r="A1" s="21" t="s">
        <v>155</v>
      </c>
      <c r="B1" s="20"/>
      <c r="C1" s="20"/>
      <c r="D1" s="20"/>
      <c r="E1" s="20"/>
      <c r="F1" s="20"/>
      <c r="G1" s="20"/>
      <c r="H1" s="20"/>
      <c r="I1" s="20"/>
      <c r="J1" s="22"/>
    </row>
    <row r="2" spans="1:10" ht="12.75">
      <c r="A2" s="20"/>
      <c r="B2" s="20" t="s">
        <v>216</v>
      </c>
      <c r="C2" s="20"/>
      <c r="D2" s="20"/>
      <c r="E2" s="20"/>
      <c r="F2" s="20"/>
      <c r="G2" s="20"/>
      <c r="H2" s="20"/>
      <c r="I2" s="20"/>
      <c r="J2" s="22"/>
    </row>
    <row r="3" spans="1:10" ht="12.75">
      <c r="A3" s="23" t="s">
        <v>84</v>
      </c>
      <c r="B3" s="41" t="s">
        <v>168</v>
      </c>
      <c r="C3" s="24" t="s">
        <v>156</v>
      </c>
      <c r="D3" s="24"/>
      <c r="E3" s="24"/>
      <c r="F3" s="24"/>
      <c r="G3" s="24"/>
      <c r="H3" s="24"/>
      <c r="I3" s="24"/>
      <c r="J3" s="24"/>
    </row>
    <row r="4" spans="1:10" ht="12.75">
      <c r="A4" s="23" t="s">
        <v>85</v>
      </c>
      <c r="B4" s="41">
        <v>29.5753</v>
      </c>
      <c r="C4" s="24" t="s">
        <v>157</v>
      </c>
      <c r="D4" s="24"/>
      <c r="E4" s="24"/>
      <c r="F4" s="24"/>
      <c r="G4" s="24"/>
      <c r="H4" s="24"/>
      <c r="I4" s="24"/>
      <c r="J4" s="24"/>
    </row>
    <row r="5" spans="1:10" ht="12.75">
      <c r="A5" s="23" t="s">
        <v>86</v>
      </c>
      <c r="B5" s="41">
        <v>-95.149</v>
      </c>
      <c r="C5" s="24" t="s">
        <v>159</v>
      </c>
      <c r="D5" s="24"/>
      <c r="E5" s="24"/>
      <c r="F5" s="24"/>
      <c r="G5" s="24"/>
      <c r="H5" s="24"/>
      <c r="I5" s="24"/>
      <c r="J5" s="24"/>
    </row>
    <row r="6" spans="1:10" ht="12.75">
      <c r="A6" s="23" t="s">
        <v>87</v>
      </c>
      <c r="B6" s="41">
        <v>2009</v>
      </c>
      <c r="C6" s="24" t="s">
        <v>215</v>
      </c>
      <c r="D6" s="24"/>
      <c r="E6" s="24"/>
      <c r="F6" s="24"/>
      <c r="G6" s="24"/>
      <c r="H6" s="24"/>
      <c r="I6" s="24"/>
      <c r="J6" s="24"/>
    </row>
    <row r="7" spans="1:10" ht="12.75">
      <c r="A7" s="23" t="s">
        <v>88</v>
      </c>
      <c r="B7" s="41">
        <v>-6</v>
      </c>
      <c r="C7" s="24" t="s">
        <v>160</v>
      </c>
      <c r="D7" s="24"/>
      <c r="E7" s="24"/>
      <c r="F7" s="24"/>
      <c r="G7" s="24"/>
      <c r="H7" s="24"/>
      <c r="I7" s="24"/>
      <c r="J7" s="24"/>
    </row>
    <row r="8" spans="1:10" ht="12.75">
      <c r="A8" s="23" t="s">
        <v>207</v>
      </c>
      <c r="B8" s="41" t="s">
        <v>208</v>
      </c>
      <c r="C8" s="24" t="s">
        <v>243</v>
      </c>
      <c r="D8" s="24"/>
      <c r="E8" s="24"/>
      <c r="F8" s="24"/>
      <c r="G8" s="24"/>
      <c r="H8" s="24"/>
      <c r="I8" s="24"/>
      <c r="J8" s="24"/>
    </row>
    <row r="9" spans="1:2" ht="12.75">
      <c r="A9" s="23" t="s">
        <v>181</v>
      </c>
      <c r="B9" s="54" t="str">
        <f>IF(OR(MOD($B$6,400)=0,AND(MOD($B$6,4)=0,MOD($B$6,100)&lt;&gt;0)),"Yes","No")</f>
        <v>No</v>
      </c>
    </row>
    <row r="10" ht="12.75">
      <c r="F10" s="66"/>
    </row>
    <row r="11" spans="1:8" ht="12.75">
      <c r="A11" s="29"/>
      <c r="B11" s="30" t="s">
        <v>206</v>
      </c>
      <c r="C11" s="38">
        <f>EasterSunday($B$6)</f>
        <v>39915</v>
      </c>
      <c r="H11" s="56"/>
    </row>
    <row r="12" spans="1:4" ht="12.75">
      <c r="A12" s="31"/>
      <c r="B12" s="32" t="s">
        <v>161</v>
      </c>
      <c r="C12" s="33">
        <f>1+MOD($B$6,19)</f>
        <v>15</v>
      </c>
      <c r="D12" s="57"/>
    </row>
    <row r="13" spans="1:4" ht="12.75">
      <c r="A13" s="31"/>
      <c r="B13" s="32" t="s">
        <v>167</v>
      </c>
      <c r="C13" s="33" t="str">
        <f>IF($D$13=6,"A",IF($D$13=5,"B",IF($D$13=4,"C",IF($D$13=3,"D",IF($D$13=2,"E",IF($D$13=1,"F",IF($D$13=0,"G")))))))</f>
        <v>D</v>
      </c>
      <c r="D13" s="40">
        <f>IF(B9="No",MOD((B6+1)+QUOTIENT(B6,4)+QUOTIENT((QUOTIENT(B6,100)-16),4)-(QUOTIENT(B6,100)-16),7),MOD((B6)+QUOTIENT(B6,4)+QUOTIENT((QUOTIENT(B6,100)-16),4)-(QUOTIENT(B6,100)-16),7))</f>
        <v>3</v>
      </c>
    </row>
    <row r="14" spans="1:4" ht="12.75">
      <c r="A14" s="31"/>
      <c r="B14" s="55">
        <f>IF(B9="Yes","After 24 Feb the Letter is","")</f>
      </c>
      <c r="C14" s="33" t="str">
        <f>IF($D$13=6,"G",IF($D$13=5,"A",IF($D$13=4,"B",IF($D$13=3,"C",IF($D$13=2,"D",IF($D$13=1,"E",IF($D$13=0,"F")))))))</f>
        <v>C</v>
      </c>
      <c r="D14" s="52"/>
    </row>
    <row r="15" ht="13.5" thickBot="1"/>
    <row r="16" spans="1:4" ht="12.75">
      <c r="A16" s="147" t="s">
        <v>162</v>
      </c>
      <c r="B16" s="148"/>
      <c r="C16" s="148"/>
      <c r="D16" s="149"/>
    </row>
    <row r="17" spans="1:4" ht="12.75">
      <c r="A17" s="34" t="s">
        <v>166</v>
      </c>
      <c r="B17" s="35" t="s">
        <v>163</v>
      </c>
      <c r="C17" s="35" t="s">
        <v>164</v>
      </c>
      <c r="D17" s="36" t="s">
        <v>165</v>
      </c>
    </row>
    <row r="18" spans="1:4" ht="13.5" thickBot="1">
      <c r="A18" s="42"/>
      <c r="B18" s="43"/>
      <c r="C18" s="43"/>
      <c r="D18" s="37">
        <f>IF(A18="","",A18+(B18/60)+(C18/3600))</f>
      </c>
    </row>
  </sheetData>
  <sheetProtection/>
  <mergeCells count="1">
    <mergeCell ref="A16:D16"/>
  </mergeCells>
  <conditionalFormatting sqref="A14:C14">
    <cfRule type="expression" priority="1" dxfId="0" stopIfTrue="1">
      <formula>$B$9="No"</formula>
    </cfRule>
  </conditionalFormatting>
  <dataValidations count="1">
    <dataValidation type="whole" allowBlank="1" showInputMessage="1" showErrorMessage="1" sqref="B6">
      <formula1>1900</formula1>
      <formula2>2099</formula2>
    </dataValidation>
  </dataValidation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2">
    <pageSetUpPr fitToPage="1"/>
  </sheetPr>
  <dimension ref="A3:B3"/>
  <sheetViews>
    <sheetView showGridLines="0" zoomScalePageLayoutView="0" workbookViewId="0" topLeftCell="A1">
      <selection activeCell="N4" sqref="N4"/>
    </sheetView>
  </sheetViews>
  <sheetFormatPr defaultColWidth="9.140625" defaultRowHeight="12.75"/>
  <cols>
    <col min="1" max="4" width="12.7109375" style="1" customWidth="1"/>
    <col min="5" max="16384" width="9.140625" style="1" customWidth="1"/>
  </cols>
  <sheetData>
    <row r="1" ht="12.75"/>
    <row r="2" ht="12.75"/>
    <row r="3" spans="1:2" ht="12.75" customHeight="1">
      <c r="A3" s="39"/>
      <c r="B3" s="39"/>
    </row>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sheetProtection/>
  <printOptions horizontalCentered="1" verticalCentered="1"/>
  <pageMargins left="0.75" right="0.75" top="1" bottom="1" header="0.5" footer="0.5"/>
  <pageSetup fitToHeight="1" fitToWidth="1" horizontalDpi="600" verticalDpi="600" orientation="portrait" scale="85" r:id="rId2"/>
  <headerFooter alignWithMargins="0">
    <oddFooter>&amp;C&amp;F, &amp;D</oddFooter>
  </headerFooter>
  <drawing r:id="rId1"/>
</worksheet>
</file>

<file path=xl/worksheets/sheet17.xml><?xml version="1.0" encoding="utf-8"?>
<worksheet xmlns="http://schemas.openxmlformats.org/spreadsheetml/2006/main" xmlns:r="http://schemas.openxmlformats.org/officeDocument/2006/relationships">
  <sheetPr codeName="Sheet1">
    <pageSetUpPr fitToPage="1"/>
  </sheetPr>
  <dimension ref="A3:B3"/>
  <sheetViews>
    <sheetView showGridLines="0" zoomScalePageLayoutView="0" workbookViewId="0" topLeftCell="A1">
      <selection activeCell="R1" sqref="R1"/>
    </sheetView>
  </sheetViews>
  <sheetFormatPr defaultColWidth="9.140625" defaultRowHeight="12.75"/>
  <cols>
    <col min="1" max="4" width="12.7109375" style="1" customWidth="1"/>
    <col min="5" max="16384" width="9.140625" style="1" customWidth="1"/>
  </cols>
  <sheetData>
    <row r="1" ht="12.75"/>
    <row r="2" ht="12.75"/>
    <row r="3" spans="1:2" ht="12.75" customHeight="1">
      <c r="A3" s="39"/>
      <c r="B3" s="39"/>
    </row>
    <row r="4" ht="12.75"/>
    <row r="5" ht="12.75"/>
    <row r="6" ht="12.75"/>
    <row r="7" ht="12.75"/>
    <row r="8"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sheetData>
  <sheetProtection/>
  <printOptions horizontalCentered="1" verticalCentered="1"/>
  <pageMargins left="0.75" right="0.75" top="1" bottom="1" header="0.5" footer="0.5"/>
  <pageSetup fitToHeight="1" fitToWidth="1" horizontalDpi="600" verticalDpi="600" orientation="portrait" r:id="rId2"/>
  <headerFooter alignWithMargins="0">
    <oddFooter>&amp;C&amp;F, &amp;D</oddFooter>
  </headerFooter>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U196"/>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170</v>
      </c>
      <c r="B1" s="118"/>
      <c r="C1" s="118"/>
      <c r="D1" s="118"/>
      <c r="E1" s="119" t="str">
        <f>ROMAN(Location!$B$6)</f>
        <v>MMIX</v>
      </c>
      <c r="F1" s="118"/>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6" t="str">
        <f>Ianuarius!B27</f>
        <v>Sunday</v>
      </c>
      <c r="C3" s="59"/>
      <c r="D3" s="7"/>
      <c r="E3" s="8" t="s">
        <v>26</v>
      </c>
      <c r="F3" s="6" t="s">
        <v>18</v>
      </c>
      <c r="G3" s="124" t="s">
        <v>269</v>
      </c>
      <c r="H3" s="9">
        <f aca="true" t="shared" si="0" ref="H3:H30">(T3/2)+Q3-"12:00:00"</f>
        <v>12.023906323967937</v>
      </c>
      <c r="I3" s="9">
        <f aca="true" t="shared" si="1" ref="I3:I30">H3+((J3-H3)/2)</f>
        <v>6.161277618003394</v>
      </c>
      <c r="J3" s="9">
        <f aca="true" t="shared" si="2" ref="J3:J30">P3</f>
        <v>0.29864891203885097</v>
      </c>
      <c r="K3" s="9">
        <f aca="true" t="shared" si="3" ref="K3:K30">J3+((L3-J3)/2)</f>
        <v>0.4112776180033937</v>
      </c>
      <c r="L3" s="9">
        <f aca="true" t="shared" si="4" ref="L3:L30">(R3/2)+J3</f>
        <v>0.5239063239679365</v>
      </c>
      <c r="M3" s="9">
        <f aca="true" t="shared" si="5" ref="M3:M30">((N3-L3)/2)+L3</f>
        <v>0.6365350299324792</v>
      </c>
      <c r="N3" s="9">
        <f aca="true" t="shared" si="6" ref="N3:N30">Q3</f>
        <v>0.7491637358970219</v>
      </c>
      <c r="O3" s="9">
        <f aca="true" t="shared" si="7" ref="O3:O30">3*U3+N3</f>
        <v>0.8865350299324791</v>
      </c>
      <c r="P3" s="9">
        <f>sunrise(Location!$B$4,Location!$B$5,Location!$B$6,2,A3,Location!$B$7,0)</f>
        <v>0.29864891203885097</v>
      </c>
      <c r="Q3" s="9">
        <f>sunset(Location!$B$4,Location!$B$5,Location!$B$6,2,A3,Location!$B$7,0)</f>
        <v>0.7491637358970219</v>
      </c>
      <c r="R3" s="9">
        <f aca="true" t="shared" si="8" ref="R3:R30">Q3-P3</f>
        <v>0.45051482385817093</v>
      </c>
      <c r="S3" s="10">
        <f aca="true" t="shared" si="9" ref="S3:S30">R3/12</f>
        <v>0.03754290198818091</v>
      </c>
      <c r="T3" s="9">
        <f aca="true" t="shared" si="10" ref="T3:T30">(24-(Q3-P3))</f>
        <v>23.54948517614183</v>
      </c>
      <c r="U3" s="10">
        <f aca="true" t="shared" si="11" ref="U3:U30">"1:00:00"-S3+"1:00:00"</f>
        <v>0.04579043134515242</v>
      </c>
    </row>
    <row r="4" spans="1:21" ht="12.75">
      <c r="A4" s="5">
        <v>2</v>
      </c>
      <c r="B4" s="6" t="str">
        <f>Ianuarius!B28</f>
        <v>Monday</v>
      </c>
      <c r="C4" s="59"/>
      <c r="D4" s="92" t="s">
        <v>64</v>
      </c>
      <c r="E4" s="8" t="s">
        <v>29</v>
      </c>
      <c r="F4" s="6" t="s">
        <v>22</v>
      </c>
      <c r="G4" s="48" t="s">
        <v>79</v>
      </c>
      <c r="H4" s="9">
        <f t="shared" si="0"/>
        <v>12.023991313909253</v>
      </c>
      <c r="I4" s="9">
        <f t="shared" si="1"/>
        <v>6.161113134036311</v>
      </c>
      <c r="J4" s="9">
        <f t="shared" si="2"/>
        <v>0.29823495416336904</v>
      </c>
      <c r="K4" s="9">
        <f t="shared" si="3"/>
        <v>0.4111131340363102</v>
      </c>
      <c r="L4" s="9">
        <f t="shared" si="4"/>
        <v>0.5239913139092514</v>
      </c>
      <c r="M4" s="9">
        <f t="shared" si="5"/>
        <v>0.6368694937821926</v>
      </c>
      <c r="N4" s="9">
        <f t="shared" si="6"/>
        <v>0.7497476736551337</v>
      </c>
      <c r="O4" s="9">
        <f t="shared" si="7"/>
        <v>0.8868694937821926</v>
      </c>
      <c r="P4" s="9">
        <f>sunrise(Location!$B$4,Location!$B$5,Location!$B$6,2,A4,Location!$B$7,0)</f>
        <v>0.29823495416336904</v>
      </c>
      <c r="Q4" s="9">
        <f>sunset(Location!$B$4,Location!$B$5,Location!$B$6,2,A4,Location!$B$7,0)</f>
        <v>0.7497476736551337</v>
      </c>
      <c r="R4" s="9">
        <f t="shared" si="8"/>
        <v>0.4515127194917647</v>
      </c>
      <c r="S4" s="10">
        <f t="shared" si="9"/>
        <v>0.037626059957647055</v>
      </c>
      <c r="T4" s="9">
        <f t="shared" si="10"/>
        <v>23.548487280508237</v>
      </c>
      <c r="U4" s="10">
        <f t="shared" si="11"/>
        <v>0.04570727337568627</v>
      </c>
    </row>
    <row r="5" spans="1:21" ht="12.75">
      <c r="A5" s="5">
        <v>3</v>
      </c>
      <c r="B5" s="6" t="str">
        <f>Ianuarius!B29</f>
        <v>Tuesday</v>
      </c>
      <c r="C5" s="59"/>
      <c r="D5" s="92" t="s">
        <v>67</v>
      </c>
      <c r="E5" s="8" t="s">
        <v>32</v>
      </c>
      <c r="F5" s="6" t="s">
        <v>25</v>
      </c>
      <c r="G5" s="137"/>
      <c r="H5" s="9">
        <f t="shared" si="0"/>
        <v>12.024066741695446</v>
      </c>
      <c r="I5" s="9">
        <f t="shared" si="1"/>
        <v>6.160935792767795</v>
      </c>
      <c r="J5" s="9">
        <f t="shared" si="2"/>
        <v>0.297804843840143</v>
      </c>
      <c r="K5" s="9">
        <f t="shared" si="3"/>
        <v>0.41093579276779446</v>
      </c>
      <c r="L5" s="9">
        <f t="shared" si="4"/>
        <v>0.5240667416954459</v>
      </c>
      <c r="M5" s="9">
        <f t="shared" si="5"/>
        <v>0.6371976906230973</v>
      </c>
      <c r="N5" s="9">
        <f t="shared" si="6"/>
        <v>0.7503286395507487</v>
      </c>
      <c r="O5" s="9">
        <f t="shared" si="7"/>
        <v>0.8871976906230973</v>
      </c>
      <c r="P5" s="9">
        <f>sunrise(Location!$B$4,Location!$B$5,Location!$B$6,2,A5,Location!$B$7,0)</f>
        <v>0.297804843840143</v>
      </c>
      <c r="Q5" s="9">
        <f>sunset(Location!$B$4,Location!$B$5,Location!$B$6,2,A5,Location!$B$7,0)</f>
        <v>0.7503286395507487</v>
      </c>
      <c r="R5" s="9">
        <f t="shared" si="8"/>
        <v>0.4525237957106057</v>
      </c>
      <c r="S5" s="10">
        <f t="shared" si="9"/>
        <v>0.03771031630921714</v>
      </c>
      <c r="T5" s="9">
        <f t="shared" si="10"/>
        <v>23.547476204289396</v>
      </c>
      <c r="U5" s="10">
        <f t="shared" si="11"/>
        <v>0.04562301702411619</v>
      </c>
    </row>
    <row r="6" spans="1:21" ht="12.75">
      <c r="A6" s="5">
        <v>4</v>
      </c>
      <c r="B6" s="6" t="str">
        <f>Ianuarius!B30</f>
        <v>Wednesday</v>
      </c>
      <c r="C6" s="59"/>
      <c r="D6" s="92" t="s">
        <v>69</v>
      </c>
      <c r="E6" s="8" t="s">
        <v>36</v>
      </c>
      <c r="F6" s="6" t="s">
        <v>27</v>
      </c>
      <c r="G6" s="137"/>
      <c r="H6" s="9">
        <f t="shared" si="0"/>
        <v>12.024132632856315</v>
      </c>
      <c r="I6" s="9">
        <f t="shared" si="1"/>
        <v>6.160745737434582</v>
      </c>
      <c r="J6" s="9">
        <f t="shared" si="2"/>
        <v>0.2973588420128499</v>
      </c>
      <c r="K6" s="9">
        <f t="shared" si="3"/>
        <v>0.4107457374345824</v>
      </c>
      <c r="L6" s="9">
        <f t="shared" si="4"/>
        <v>0.524132632856315</v>
      </c>
      <c r="M6" s="9">
        <f t="shared" si="5"/>
        <v>0.6375195282780475</v>
      </c>
      <c r="N6" s="9">
        <f t="shared" si="6"/>
        <v>0.7509064236997801</v>
      </c>
      <c r="O6" s="9">
        <f t="shared" si="7"/>
        <v>0.8875195282780475</v>
      </c>
      <c r="P6" s="9">
        <f>sunrise(Location!$B$4,Location!$B$5,Location!$B$6,2,A6,Location!$B$7,0)</f>
        <v>0.2973588420128499</v>
      </c>
      <c r="Q6" s="9">
        <f>sunset(Location!$B$4,Location!$B$5,Location!$B$6,2,A6,Location!$B$7,0)</f>
        <v>0.7509064236997801</v>
      </c>
      <c r="R6" s="9">
        <f t="shared" si="8"/>
        <v>0.4535475816869302</v>
      </c>
      <c r="S6" s="10">
        <f t="shared" si="9"/>
        <v>0.037795631807244184</v>
      </c>
      <c r="T6" s="9">
        <f t="shared" si="10"/>
        <v>23.54645241831307</v>
      </c>
      <c r="U6" s="10">
        <f t="shared" si="11"/>
        <v>0.045537701526089144</v>
      </c>
    </row>
    <row r="7" spans="1:21" ht="12.75">
      <c r="A7" s="5">
        <v>5</v>
      </c>
      <c r="B7" s="6" t="str">
        <f>Ianuarius!B31</f>
        <v>Thursday</v>
      </c>
      <c r="C7" s="59"/>
      <c r="D7" s="7"/>
      <c r="E7" s="8" t="s">
        <v>17</v>
      </c>
      <c r="F7" s="6" t="s">
        <v>30</v>
      </c>
      <c r="G7" s="137"/>
      <c r="H7" s="9">
        <f t="shared" si="0"/>
        <v>12.024189024471974</v>
      </c>
      <c r="I7" s="9">
        <f t="shared" si="1"/>
        <v>6.160543120855923</v>
      </c>
      <c r="J7" s="9">
        <f t="shared" si="2"/>
        <v>0.2968972172398716</v>
      </c>
      <c r="K7" s="9">
        <f t="shared" si="3"/>
        <v>0.4105431208559224</v>
      </c>
      <c r="L7" s="9">
        <f t="shared" si="4"/>
        <v>0.5241890244719732</v>
      </c>
      <c r="M7" s="9">
        <f t="shared" si="5"/>
        <v>0.637834928088024</v>
      </c>
      <c r="N7" s="9">
        <f t="shared" si="6"/>
        <v>0.7514808317040749</v>
      </c>
      <c r="O7" s="9">
        <f t="shared" si="7"/>
        <v>0.887834928088024</v>
      </c>
      <c r="P7" s="9">
        <f>sunrise(Location!$B$4,Location!$B$5,Location!$B$6,2,A7,Location!$B$7,0)</f>
        <v>0.2968972172398716</v>
      </c>
      <c r="Q7" s="9">
        <f>sunset(Location!$B$4,Location!$B$5,Location!$B$6,2,A7,Location!$B$7,0)</f>
        <v>0.7514808317040749</v>
      </c>
      <c r="R7" s="9">
        <f t="shared" si="8"/>
        <v>0.45458361446420326</v>
      </c>
      <c r="S7" s="10">
        <f t="shared" si="9"/>
        <v>0.03788196787201694</v>
      </c>
      <c r="T7" s="9">
        <f t="shared" si="10"/>
        <v>23.5454163855358</v>
      </c>
      <c r="U7" s="10">
        <f t="shared" si="11"/>
        <v>0.04545136546131639</v>
      </c>
    </row>
    <row r="8" spans="1:21" ht="12.75">
      <c r="A8" s="5">
        <v>6</v>
      </c>
      <c r="B8" s="6" t="str">
        <f>Ianuarius!B32</f>
        <v>Friday</v>
      </c>
      <c r="C8" s="59"/>
      <c r="D8" s="92" t="s">
        <v>72</v>
      </c>
      <c r="E8" s="8" t="s">
        <v>21</v>
      </c>
      <c r="F8" s="6" t="s">
        <v>33</v>
      </c>
      <c r="G8" s="137"/>
      <c r="H8" s="9">
        <f t="shared" si="0"/>
        <v>12.024235964909598</v>
      </c>
      <c r="I8" s="9">
        <f t="shared" si="1"/>
        <v>6.160328105088628</v>
      </c>
      <c r="J8" s="9">
        <f t="shared" si="2"/>
        <v>0.2964202452676586</v>
      </c>
      <c r="K8" s="9">
        <f t="shared" si="3"/>
        <v>0.41032810508862816</v>
      </c>
      <c r="L8" s="9">
        <f t="shared" si="4"/>
        <v>0.5242359649095977</v>
      </c>
      <c r="M8" s="9">
        <f t="shared" si="5"/>
        <v>0.6381438247305673</v>
      </c>
      <c r="N8" s="9">
        <f t="shared" si="6"/>
        <v>0.7520516845515368</v>
      </c>
      <c r="O8" s="9">
        <f t="shared" si="7"/>
        <v>0.8881438247305673</v>
      </c>
      <c r="P8" s="9">
        <f>sunrise(Location!$B$4,Location!$B$5,Location!$B$6,2,A8,Location!$B$7,0)</f>
        <v>0.2964202452676586</v>
      </c>
      <c r="Q8" s="9">
        <f>sunset(Location!$B$4,Location!$B$5,Location!$B$6,2,A8,Location!$B$7,0)</f>
        <v>0.7520516845515368</v>
      </c>
      <c r="R8" s="9">
        <f t="shared" si="8"/>
        <v>0.4556314392838782</v>
      </c>
      <c r="S8" s="10">
        <f t="shared" si="9"/>
        <v>0.03796928660698985</v>
      </c>
      <c r="T8" s="9">
        <f t="shared" si="10"/>
        <v>23.544368560716123</v>
      </c>
      <c r="U8" s="10">
        <f t="shared" si="11"/>
        <v>0.04536404672634348</v>
      </c>
    </row>
    <row r="9" spans="1:21" ht="12.75">
      <c r="A9" s="5">
        <v>7</v>
      </c>
      <c r="B9" s="6" t="str">
        <f>Ianuarius!B33</f>
        <v>Saturday</v>
      </c>
      <c r="C9" s="59"/>
      <c r="D9" s="92" t="s">
        <v>75</v>
      </c>
      <c r="E9" s="8" t="s">
        <v>24</v>
      </c>
      <c r="F9" s="6" t="s">
        <v>37</v>
      </c>
      <c r="G9" s="137"/>
      <c r="H9" s="9">
        <f t="shared" si="0"/>
        <v>12.024273513547339</v>
      </c>
      <c r="I9" s="9">
        <f t="shared" si="1"/>
        <v>6.160100861079398</v>
      </c>
      <c r="J9" s="9">
        <f t="shared" si="2"/>
        <v>0.2959282086114566</v>
      </c>
      <c r="K9" s="9">
        <f t="shared" si="3"/>
        <v>0.41010086107939825</v>
      </c>
      <c r="L9" s="9">
        <f t="shared" si="4"/>
        <v>0.5242735135473399</v>
      </c>
      <c r="M9" s="9">
        <f t="shared" si="5"/>
        <v>0.6384461660152815</v>
      </c>
      <c r="N9" s="9">
        <f t="shared" si="6"/>
        <v>0.7526188184832231</v>
      </c>
      <c r="O9" s="9">
        <f t="shared" si="7"/>
        <v>0.8884461660152815</v>
      </c>
      <c r="P9" s="9">
        <f>sunrise(Location!$B$4,Location!$B$5,Location!$B$6,2,A9,Location!$B$7,0)</f>
        <v>0.2959282086114566</v>
      </c>
      <c r="Q9" s="9">
        <f>sunset(Location!$B$4,Location!$B$5,Location!$B$6,2,A9,Location!$B$7,0)</f>
        <v>0.7526188184832231</v>
      </c>
      <c r="R9" s="9">
        <f t="shared" si="8"/>
        <v>0.4566906098717665</v>
      </c>
      <c r="S9" s="10">
        <f t="shared" si="9"/>
        <v>0.03805755082264721</v>
      </c>
      <c r="T9" s="9">
        <f t="shared" si="10"/>
        <v>23.543309390128233</v>
      </c>
      <c r="U9" s="10">
        <f t="shared" si="11"/>
        <v>0.04527578251068612</v>
      </c>
    </row>
    <row r="10" spans="1:21" ht="12.75">
      <c r="A10" s="5">
        <v>8</v>
      </c>
      <c r="B10" s="6" t="str">
        <f aca="true" t="shared" si="12" ref="B10:B16">B3</f>
        <v>Sunday</v>
      </c>
      <c r="C10" s="59"/>
      <c r="D10" s="7"/>
      <c r="E10" s="8" t="s">
        <v>26</v>
      </c>
      <c r="F10" s="6" t="s">
        <v>39</v>
      </c>
      <c r="G10" s="139" t="s">
        <v>270</v>
      </c>
      <c r="H10" s="9">
        <f t="shared" si="0"/>
        <v>12.024301740483429</v>
      </c>
      <c r="I10" s="9">
        <f t="shared" si="1"/>
        <v>6.159861568314219</v>
      </c>
      <c r="J10" s="9">
        <f t="shared" si="2"/>
        <v>0.2954213961450087</v>
      </c>
      <c r="K10" s="9">
        <f t="shared" si="3"/>
        <v>0.4098615683142188</v>
      </c>
      <c r="L10" s="9">
        <f t="shared" si="4"/>
        <v>0.524301740483429</v>
      </c>
      <c r="M10" s="9">
        <f t="shared" si="5"/>
        <v>0.6387419126526392</v>
      </c>
      <c r="N10" s="9">
        <f t="shared" si="6"/>
        <v>0.7531820848218493</v>
      </c>
      <c r="O10" s="9">
        <f t="shared" si="7"/>
        <v>0.8887419126526391</v>
      </c>
      <c r="P10" s="9">
        <f>sunrise(Location!$B$4,Location!$B$5,Location!$B$6,2,A10,Location!$B$7,0)</f>
        <v>0.2954213961450087</v>
      </c>
      <c r="Q10" s="9">
        <f>sunset(Location!$B$4,Location!$B$5,Location!$B$6,2,A10,Location!$B$7,0)</f>
        <v>0.7531820848218493</v>
      </c>
      <c r="R10" s="9">
        <f t="shared" si="8"/>
        <v>0.45776068867684067</v>
      </c>
      <c r="S10" s="10">
        <f t="shared" si="9"/>
        <v>0.03814672405640339</v>
      </c>
      <c r="T10" s="9">
        <f t="shared" si="10"/>
        <v>23.542239311323158</v>
      </c>
      <c r="U10" s="10">
        <f t="shared" si="11"/>
        <v>0.04518660927692994</v>
      </c>
    </row>
    <row r="11" spans="1:21" ht="12.75">
      <c r="A11" s="5">
        <v>9</v>
      </c>
      <c r="B11" s="6" t="str">
        <f t="shared" si="12"/>
        <v>Monday</v>
      </c>
      <c r="C11" s="59"/>
      <c r="D11" s="92" t="s">
        <v>20</v>
      </c>
      <c r="E11" s="8" t="s">
        <v>29</v>
      </c>
      <c r="F11" s="6" t="s">
        <v>41</v>
      </c>
      <c r="G11" s="137"/>
      <c r="H11" s="9">
        <f t="shared" si="0"/>
        <v>12.024320726231853</v>
      </c>
      <c r="I11" s="9">
        <f t="shared" si="1"/>
        <v>6.159610414463117</v>
      </c>
      <c r="J11" s="9">
        <f t="shared" si="2"/>
        <v>0.29490010269438166</v>
      </c>
      <c r="K11" s="9">
        <f t="shared" si="3"/>
        <v>0.4096104144631175</v>
      </c>
      <c r="L11" s="9">
        <f t="shared" si="4"/>
        <v>0.5243207262318533</v>
      </c>
      <c r="M11" s="9">
        <f t="shared" si="5"/>
        <v>0.6390310380005892</v>
      </c>
      <c r="N11" s="9">
        <f t="shared" si="6"/>
        <v>0.753741349769325</v>
      </c>
      <c r="O11" s="9">
        <f t="shared" si="7"/>
        <v>0.8890310380005892</v>
      </c>
      <c r="P11" s="9">
        <f>sunrise(Location!$B$4,Location!$B$5,Location!$B$6,2,A11,Location!$B$7,0)</f>
        <v>0.29490010269438166</v>
      </c>
      <c r="Q11" s="9">
        <f>sunset(Location!$B$4,Location!$B$5,Location!$B$6,2,A11,Location!$B$7,0)</f>
        <v>0.753741349769325</v>
      </c>
      <c r="R11" s="9">
        <f t="shared" si="8"/>
        <v>0.4588412470749434</v>
      </c>
      <c r="S11" s="10">
        <f t="shared" si="9"/>
        <v>0.03823677058957862</v>
      </c>
      <c r="T11" s="9">
        <f t="shared" si="10"/>
        <v>23.541158752925057</v>
      </c>
      <c r="U11" s="10">
        <f t="shared" si="11"/>
        <v>0.04509656274375471</v>
      </c>
    </row>
    <row r="12" spans="1:21" ht="12.75">
      <c r="A12" s="5">
        <v>10</v>
      </c>
      <c r="B12" s="6" t="str">
        <f t="shared" si="12"/>
        <v>Tuesday</v>
      </c>
      <c r="C12" s="59"/>
      <c r="D12" s="7"/>
      <c r="E12" s="8" t="s">
        <v>32</v>
      </c>
      <c r="F12" s="6" t="s">
        <v>43</v>
      </c>
      <c r="G12" s="137"/>
      <c r="H12" s="9">
        <f t="shared" si="0"/>
        <v>12.02433056140909</v>
      </c>
      <c r="I12" s="9">
        <f t="shared" si="1"/>
        <v>6.159347595027026</v>
      </c>
      <c r="J12" s="9">
        <f t="shared" si="2"/>
        <v>0.29436462864496166</v>
      </c>
      <c r="K12" s="9">
        <f t="shared" si="3"/>
        <v>0.4093475950270262</v>
      </c>
      <c r="L12" s="9">
        <f t="shared" si="4"/>
        <v>0.5243305614090907</v>
      </c>
      <c r="M12" s="9">
        <f t="shared" si="5"/>
        <v>0.6393135277911552</v>
      </c>
      <c r="N12" s="9">
        <f t="shared" si="6"/>
        <v>0.7542964941732199</v>
      </c>
      <c r="O12" s="9">
        <f t="shared" si="7"/>
        <v>0.8893135277911552</v>
      </c>
      <c r="P12" s="9">
        <f>sunrise(Location!$B$4,Location!$B$5,Location!$B$6,2,A12,Location!$B$7,0)</f>
        <v>0.29436462864496166</v>
      </c>
      <c r="Q12" s="9">
        <f>sunset(Location!$B$4,Location!$B$5,Location!$B$6,2,A12,Location!$B$7,0)</f>
        <v>0.7542964941732199</v>
      </c>
      <c r="R12" s="9">
        <f t="shared" si="8"/>
        <v>0.4599318655282582</v>
      </c>
      <c r="S12" s="10">
        <f t="shared" si="9"/>
        <v>0.038327655460688184</v>
      </c>
      <c r="T12" s="9">
        <f t="shared" si="10"/>
        <v>23.540068134471742</v>
      </c>
      <c r="U12" s="10">
        <f t="shared" si="11"/>
        <v>0.045005677872645145</v>
      </c>
    </row>
    <row r="13" spans="1:21" ht="12.75">
      <c r="A13" s="5">
        <v>11</v>
      </c>
      <c r="B13" s="6" t="str">
        <f t="shared" si="12"/>
        <v>Wednesday</v>
      </c>
      <c r="C13" s="59"/>
      <c r="D13" s="92" t="s">
        <v>23</v>
      </c>
      <c r="E13" s="8" t="s">
        <v>36</v>
      </c>
      <c r="F13" s="6" t="s">
        <v>44</v>
      </c>
      <c r="G13" s="137"/>
      <c r="H13" s="9">
        <f t="shared" si="0"/>
        <v>12.02433134640818</v>
      </c>
      <c r="I13" s="9">
        <f t="shared" si="1"/>
        <v>6.15907331298015</v>
      </c>
      <c r="J13" s="9">
        <f t="shared" si="2"/>
        <v>0.29381527955211867</v>
      </c>
      <c r="K13" s="9">
        <f t="shared" si="3"/>
        <v>0.4090733129801497</v>
      </c>
      <c r="L13" s="9">
        <f t="shared" si="4"/>
        <v>0.5243313464081808</v>
      </c>
      <c r="M13" s="9">
        <f t="shared" si="5"/>
        <v>0.6395893798362119</v>
      </c>
      <c r="N13" s="9">
        <f t="shared" si="6"/>
        <v>0.754847413264243</v>
      </c>
      <c r="O13" s="9">
        <f t="shared" si="7"/>
        <v>0.8895893798362119</v>
      </c>
      <c r="P13" s="9">
        <f>sunrise(Location!$B$4,Location!$B$5,Location!$B$6,2,A13,Location!$B$7,0)</f>
        <v>0.29381527955211867</v>
      </c>
      <c r="Q13" s="9">
        <f>sunset(Location!$B$4,Location!$B$5,Location!$B$6,2,A13,Location!$B$7,0)</f>
        <v>0.754847413264243</v>
      </c>
      <c r="R13" s="9">
        <f t="shared" si="8"/>
        <v>0.4610321337121243</v>
      </c>
      <c r="S13" s="10">
        <f t="shared" si="9"/>
        <v>0.03841934447601036</v>
      </c>
      <c r="T13" s="9">
        <f t="shared" si="10"/>
        <v>23.538967866287877</v>
      </c>
      <c r="U13" s="10">
        <f t="shared" si="11"/>
        <v>0.04491398885732297</v>
      </c>
    </row>
    <row r="14" spans="1:21" ht="12.75">
      <c r="A14" s="5">
        <v>12</v>
      </c>
      <c r="B14" s="6" t="str">
        <f t="shared" si="12"/>
        <v>Thursday</v>
      </c>
      <c r="C14" s="59"/>
      <c r="D14" s="92" t="s">
        <v>28</v>
      </c>
      <c r="E14" s="8" t="s">
        <v>17</v>
      </c>
      <c r="F14" s="6" t="s">
        <v>46</v>
      </c>
      <c r="G14" s="137"/>
      <c r="H14" s="9">
        <f t="shared" si="0"/>
        <v>12.024323191066344</v>
      </c>
      <c r="I14" s="9">
        <f t="shared" si="1"/>
        <v>6.158787778415575</v>
      </c>
      <c r="J14" s="9">
        <f t="shared" si="2"/>
        <v>0.293252365764805</v>
      </c>
      <c r="K14" s="9">
        <f t="shared" si="3"/>
        <v>0.4087877784155748</v>
      </c>
      <c r="L14" s="9">
        <f t="shared" si="4"/>
        <v>0.5243231910663446</v>
      </c>
      <c r="M14" s="9">
        <f t="shared" si="5"/>
        <v>0.6398586037171144</v>
      </c>
      <c r="N14" s="9">
        <f t="shared" si="6"/>
        <v>0.7553940163678843</v>
      </c>
      <c r="O14" s="9">
        <f t="shared" si="7"/>
        <v>0.8898586037171144</v>
      </c>
      <c r="P14" s="9">
        <f>sunrise(Location!$B$4,Location!$B$5,Location!$B$6,2,A14,Location!$B$7,0)</f>
        <v>0.293252365764805</v>
      </c>
      <c r="Q14" s="9">
        <f>sunset(Location!$B$4,Location!$B$5,Location!$B$6,2,A14,Location!$B$7,0)</f>
        <v>0.7553940163678843</v>
      </c>
      <c r="R14" s="9">
        <f t="shared" si="8"/>
        <v>0.46214165060307927</v>
      </c>
      <c r="S14" s="10">
        <f t="shared" si="9"/>
        <v>0.038511804216923275</v>
      </c>
      <c r="T14" s="9">
        <f t="shared" si="10"/>
        <v>23.53785834939692</v>
      </c>
      <c r="U14" s="10">
        <f t="shared" si="11"/>
        <v>0.044821529116410054</v>
      </c>
    </row>
    <row r="15" spans="1:21" ht="12.75">
      <c r="A15" s="5">
        <v>13</v>
      </c>
      <c r="B15" s="6" t="str">
        <f t="shared" si="12"/>
        <v>Friday</v>
      </c>
      <c r="C15" s="59"/>
      <c r="D15" s="7"/>
      <c r="E15" s="8" t="s">
        <v>21</v>
      </c>
      <c r="F15" s="6" t="s">
        <v>47</v>
      </c>
      <c r="G15" s="137"/>
      <c r="H15" s="9">
        <f t="shared" si="0"/>
        <v>12.024306214322959</v>
      </c>
      <c r="I15" s="9">
        <f t="shared" si="1"/>
        <v>6.15849120818981</v>
      </c>
      <c r="J15" s="9">
        <f t="shared" si="2"/>
        <v>0.2926762020566611</v>
      </c>
      <c r="K15" s="9">
        <f t="shared" si="3"/>
        <v>0.40849120818980966</v>
      </c>
      <c r="L15" s="9">
        <f t="shared" si="4"/>
        <v>0.5243062143229582</v>
      </c>
      <c r="M15" s="9">
        <f t="shared" si="5"/>
        <v>0.6401212204561068</v>
      </c>
      <c r="N15" s="9">
        <f t="shared" si="6"/>
        <v>0.7559362265892553</v>
      </c>
      <c r="O15" s="9">
        <f t="shared" si="7"/>
        <v>0.8901212204561068</v>
      </c>
      <c r="P15" s="9">
        <f>sunrise(Location!$B$4,Location!$B$5,Location!$B$6,2,A15,Location!$B$7,0)</f>
        <v>0.2926762020566611</v>
      </c>
      <c r="Q15" s="9">
        <f>sunset(Location!$B$4,Location!$B$5,Location!$B$6,2,A15,Location!$B$7,0)</f>
        <v>0.7559362265892553</v>
      </c>
      <c r="R15" s="9">
        <f t="shared" si="8"/>
        <v>0.4632600245325942</v>
      </c>
      <c r="S15" s="10">
        <f t="shared" si="9"/>
        <v>0.03860500204438285</v>
      </c>
      <c r="T15" s="9">
        <f t="shared" si="10"/>
        <v>23.536739975467405</v>
      </c>
      <c r="U15" s="10">
        <f t="shared" si="11"/>
        <v>0.04472833128895048</v>
      </c>
    </row>
    <row r="16" spans="1:21" ht="12.75">
      <c r="A16" s="5">
        <v>14</v>
      </c>
      <c r="B16" s="6" t="str">
        <f t="shared" si="12"/>
        <v>Saturday</v>
      </c>
      <c r="C16" s="59"/>
      <c r="D16" s="92" t="s">
        <v>35</v>
      </c>
      <c r="E16" s="8" t="s">
        <v>24</v>
      </c>
      <c r="F16" s="116" t="s">
        <v>263</v>
      </c>
      <c r="G16" s="48" t="s">
        <v>80</v>
      </c>
      <c r="H16" s="9">
        <f t="shared" si="0"/>
        <v>12.024280543873646</v>
      </c>
      <c r="I16" s="9">
        <f t="shared" si="1"/>
        <v>6.15818382557066</v>
      </c>
      <c r="J16" s="9">
        <f t="shared" si="2"/>
        <v>0.2920871072676749</v>
      </c>
      <c r="K16" s="9">
        <f t="shared" si="3"/>
        <v>0.40818382557066035</v>
      </c>
      <c r="L16" s="9">
        <f t="shared" si="4"/>
        <v>0.5242805438736458</v>
      </c>
      <c r="M16" s="9">
        <f t="shared" si="5"/>
        <v>0.6403772621766313</v>
      </c>
      <c r="N16" s="9">
        <f t="shared" si="6"/>
        <v>0.7564739804796167</v>
      </c>
      <c r="O16" s="9">
        <f t="shared" si="7"/>
        <v>0.8903772621766313</v>
      </c>
      <c r="P16" s="9">
        <f>sunrise(Location!$B$4,Location!$B$5,Location!$B$6,2,A16,Location!$B$7,0)</f>
        <v>0.2920871072676749</v>
      </c>
      <c r="Q16" s="9">
        <f>sunset(Location!$B$4,Location!$B$5,Location!$B$6,2,A16,Location!$B$7,0)</f>
        <v>0.7564739804796167</v>
      </c>
      <c r="R16" s="9">
        <f t="shared" si="8"/>
        <v>0.4643868732119418</v>
      </c>
      <c r="S16" s="10">
        <f t="shared" si="9"/>
        <v>0.03869890610099515</v>
      </c>
      <c r="T16" s="9">
        <f t="shared" si="10"/>
        <v>23.535613126788057</v>
      </c>
      <c r="U16" s="10">
        <f t="shared" si="11"/>
        <v>0.04463442723233818</v>
      </c>
    </row>
    <row r="17" spans="1:21" ht="12.75">
      <c r="A17" s="5">
        <v>15</v>
      </c>
      <c r="B17" s="6" t="str">
        <f aca="true" t="shared" si="13" ref="B17:B23">B3</f>
        <v>Sunday</v>
      </c>
      <c r="C17" s="59"/>
      <c r="D17" s="92" t="s">
        <v>38</v>
      </c>
      <c r="E17" s="8" t="s">
        <v>26</v>
      </c>
      <c r="F17" s="116" t="s">
        <v>56</v>
      </c>
      <c r="G17" s="139" t="s">
        <v>271</v>
      </c>
      <c r="H17" s="9">
        <f t="shared" si="0"/>
        <v>12.024246315815803</v>
      </c>
      <c r="I17" s="9">
        <f t="shared" si="1"/>
        <v>6.157865859885055</v>
      </c>
      <c r="J17" s="9">
        <f t="shared" si="2"/>
        <v>0.29148540395430705</v>
      </c>
      <c r="K17" s="9">
        <f t="shared" si="3"/>
        <v>0.40786585988505564</v>
      </c>
      <c r="L17" s="9">
        <f t="shared" si="4"/>
        <v>0.5242463158158042</v>
      </c>
      <c r="M17" s="9">
        <f t="shared" si="5"/>
        <v>0.6406267717465527</v>
      </c>
      <c r="N17" s="9">
        <f t="shared" si="6"/>
        <v>0.7570072276773012</v>
      </c>
      <c r="O17" s="9">
        <f t="shared" si="7"/>
        <v>0.8906267717465527</v>
      </c>
      <c r="P17" s="9">
        <f>sunrise(Location!$B$4,Location!$B$5,Location!$B$6,2,A17,Location!$B$7,0)</f>
        <v>0.29148540395430705</v>
      </c>
      <c r="Q17" s="9">
        <f>sunset(Location!$B$4,Location!$B$5,Location!$B$6,2,A17,Location!$B$7,0)</f>
        <v>0.7570072276773012</v>
      </c>
      <c r="R17" s="9">
        <f t="shared" si="8"/>
        <v>0.46552182372299417</v>
      </c>
      <c r="S17" s="10">
        <f t="shared" si="9"/>
        <v>0.038793485310249516</v>
      </c>
      <c r="T17" s="9">
        <f t="shared" si="10"/>
        <v>23.534478176277005</v>
      </c>
      <c r="U17" s="10">
        <f t="shared" si="11"/>
        <v>0.04453984802308381</v>
      </c>
    </row>
    <row r="18" spans="1:21" ht="12.75">
      <c r="A18" s="5">
        <v>16</v>
      </c>
      <c r="B18" s="6" t="str">
        <f t="shared" si="13"/>
        <v>Monday</v>
      </c>
      <c r="C18" s="59"/>
      <c r="D18" s="7"/>
      <c r="E18" s="8" t="s">
        <v>29</v>
      </c>
      <c r="F18" s="116" t="s">
        <v>57</v>
      </c>
      <c r="G18" s="137"/>
      <c r="H18" s="9">
        <f t="shared" si="0"/>
        <v>12.024203674294663</v>
      </c>
      <c r="I18" s="9">
        <f t="shared" si="1"/>
        <v>6.157537546174017</v>
      </c>
      <c r="J18" s="9">
        <f t="shared" si="2"/>
        <v>0.29087141805336997</v>
      </c>
      <c r="K18" s="9">
        <f t="shared" si="3"/>
        <v>0.40753754617401683</v>
      </c>
      <c r="L18" s="9">
        <f t="shared" si="4"/>
        <v>0.5242036742946636</v>
      </c>
      <c r="M18" s="9">
        <f t="shared" si="5"/>
        <v>0.6408698024153106</v>
      </c>
      <c r="N18" s="9">
        <f t="shared" si="6"/>
        <v>0.7575359305359574</v>
      </c>
      <c r="O18" s="9">
        <f t="shared" si="7"/>
        <v>0.8908698024153106</v>
      </c>
      <c r="P18" s="9">
        <f>sunrise(Location!$B$4,Location!$B$5,Location!$B$6,2,A18,Location!$B$7,0)</f>
        <v>0.29087141805336997</v>
      </c>
      <c r="Q18" s="9">
        <f>sunset(Location!$B$4,Location!$B$5,Location!$B$6,2,A18,Location!$B$7,0)</f>
        <v>0.7575359305359574</v>
      </c>
      <c r="R18" s="9">
        <f t="shared" si="8"/>
        <v>0.4666645124825874</v>
      </c>
      <c r="S18" s="10">
        <f t="shared" si="9"/>
        <v>0.03888870937354895</v>
      </c>
      <c r="T18" s="9">
        <f t="shared" si="10"/>
        <v>23.533335487517412</v>
      </c>
      <c r="U18" s="10">
        <f t="shared" si="11"/>
        <v>0.04444462395978438</v>
      </c>
    </row>
    <row r="19" spans="1:21" ht="12.75">
      <c r="A19" s="5">
        <v>17</v>
      </c>
      <c r="B19" s="6" t="str">
        <f t="shared" si="13"/>
        <v>Tuesday</v>
      </c>
      <c r="C19" s="59"/>
      <c r="D19" s="92" t="s">
        <v>40</v>
      </c>
      <c r="E19" s="8" t="s">
        <v>32</v>
      </c>
      <c r="F19" s="116" t="s">
        <v>60</v>
      </c>
      <c r="G19" s="137"/>
      <c r="H19" s="9">
        <f t="shared" si="0"/>
        <v>12.024152771142315</v>
      </c>
      <c r="I19" s="9">
        <f t="shared" si="1"/>
        <v>6.1571991248475415</v>
      </c>
      <c r="J19" s="9">
        <f t="shared" si="2"/>
        <v>0.2902454785527675</v>
      </c>
      <c r="K19" s="9">
        <f t="shared" si="3"/>
        <v>0.4071991248475417</v>
      </c>
      <c r="L19" s="9">
        <f t="shared" si="4"/>
        <v>0.524152771142316</v>
      </c>
      <c r="M19" s="9">
        <f t="shared" si="5"/>
        <v>0.6411064174370902</v>
      </c>
      <c r="N19" s="9">
        <f t="shared" si="6"/>
        <v>0.7580600637318645</v>
      </c>
      <c r="O19" s="9">
        <f t="shared" si="7"/>
        <v>0.8911064174370903</v>
      </c>
      <c r="P19" s="9">
        <f>sunrise(Location!$B$4,Location!$B$5,Location!$B$6,2,A19,Location!$B$7,0)</f>
        <v>0.2902454785527675</v>
      </c>
      <c r="Q19" s="9">
        <f>sunset(Location!$B$4,Location!$B$5,Location!$B$6,2,A19,Location!$B$7,0)</f>
        <v>0.7580600637318645</v>
      </c>
      <c r="R19" s="9">
        <f t="shared" si="8"/>
        <v>0.467814585179097</v>
      </c>
      <c r="S19" s="10">
        <f t="shared" si="9"/>
        <v>0.03898454876492475</v>
      </c>
      <c r="T19" s="9">
        <f t="shared" si="10"/>
        <v>23.5321854148209</v>
      </c>
      <c r="U19" s="10">
        <f t="shared" si="11"/>
        <v>0.04434878456840858</v>
      </c>
    </row>
    <row r="20" spans="1:21" ht="12.75">
      <c r="A20" s="5">
        <v>18</v>
      </c>
      <c r="B20" s="6" t="str">
        <f t="shared" si="13"/>
        <v>Wednesday</v>
      </c>
      <c r="C20" s="59"/>
      <c r="D20" s="92" t="s">
        <v>42</v>
      </c>
      <c r="E20" s="8" t="s">
        <v>36</v>
      </c>
      <c r="F20" s="116" t="s">
        <v>62</v>
      </c>
      <c r="G20" s="137"/>
      <c r="H20" s="9">
        <f t="shared" si="0"/>
        <v>12.0240937655182</v>
      </c>
      <c r="I20" s="9">
        <f t="shared" si="1"/>
        <v>6.1568508413472705</v>
      </c>
      <c r="J20" s="9">
        <f t="shared" si="2"/>
        <v>0.2896079171763411</v>
      </c>
      <c r="K20" s="9">
        <f t="shared" si="3"/>
        <v>0.40685084134727045</v>
      </c>
      <c r="L20" s="9">
        <f t="shared" si="4"/>
        <v>0.5240937655181999</v>
      </c>
      <c r="M20" s="9">
        <f t="shared" si="5"/>
        <v>0.6413366896891293</v>
      </c>
      <c r="N20" s="9">
        <f t="shared" si="6"/>
        <v>0.7585796138600586</v>
      </c>
      <c r="O20" s="9">
        <f t="shared" si="7"/>
        <v>0.8913366896891292</v>
      </c>
      <c r="P20" s="9">
        <f>sunrise(Location!$B$4,Location!$B$5,Location!$B$6,2,A20,Location!$B$7,0)</f>
        <v>0.2896079171763411</v>
      </c>
      <c r="Q20" s="9">
        <f>sunset(Location!$B$4,Location!$B$5,Location!$B$6,2,A20,Location!$B$7,0)</f>
        <v>0.7585796138600586</v>
      </c>
      <c r="R20" s="9">
        <f t="shared" si="8"/>
        <v>0.46897169668371746</v>
      </c>
      <c r="S20" s="10">
        <f t="shared" si="9"/>
        <v>0.03908097472364312</v>
      </c>
      <c r="T20" s="9">
        <f t="shared" si="10"/>
        <v>23.531028303316283</v>
      </c>
      <c r="U20" s="10">
        <f t="shared" si="11"/>
        <v>0.04425235860969021</v>
      </c>
    </row>
    <row r="21" spans="1:21" ht="12.75">
      <c r="A21" s="5">
        <v>19</v>
      </c>
      <c r="B21" s="6" t="str">
        <f t="shared" si="13"/>
        <v>Thursday</v>
      </c>
      <c r="C21" s="59"/>
      <c r="D21" s="7"/>
      <c r="E21" s="8" t="s">
        <v>17</v>
      </c>
      <c r="F21" s="116" t="s">
        <v>63</v>
      </c>
      <c r="G21" s="137"/>
      <c r="H21" s="9">
        <f t="shared" si="0"/>
        <v>12.024026823548033</v>
      </c>
      <c r="I21" s="9">
        <f t="shared" si="1"/>
        <v>6.156492945813324</v>
      </c>
      <c r="J21" s="9">
        <f t="shared" si="2"/>
        <v>0.2889590680786147</v>
      </c>
      <c r="K21" s="9">
        <f t="shared" si="3"/>
        <v>0.40649294581332407</v>
      </c>
      <c r="L21" s="9">
        <f t="shared" si="4"/>
        <v>0.5240268235480334</v>
      </c>
      <c r="M21" s="9">
        <f t="shared" si="5"/>
        <v>0.6415607012827427</v>
      </c>
      <c r="N21" s="9">
        <f t="shared" si="6"/>
        <v>0.759094579017452</v>
      </c>
      <c r="O21" s="9">
        <f t="shared" si="7"/>
        <v>0.8915607012827427</v>
      </c>
      <c r="P21" s="9">
        <f>sunrise(Location!$B$4,Location!$B$5,Location!$B$6,2,A21,Location!$B$7,0)</f>
        <v>0.2889590680786147</v>
      </c>
      <c r="Q21" s="9">
        <f>sunset(Location!$B$4,Location!$B$5,Location!$B$6,2,A21,Location!$B$7,0)</f>
        <v>0.759094579017452</v>
      </c>
      <c r="R21" s="9">
        <f t="shared" si="8"/>
        <v>0.4701355109388373</v>
      </c>
      <c r="S21" s="10">
        <f t="shared" si="9"/>
        <v>0.03917795924490311</v>
      </c>
      <c r="T21" s="9">
        <f t="shared" si="10"/>
        <v>23.52986448906116</v>
      </c>
      <c r="U21" s="10">
        <f t="shared" si="11"/>
        <v>0.04415537408843022</v>
      </c>
    </row>
    <row r="22" spans="1:21" ht="12.75">
      <c r="A22" s="5">
        <v>20</v>
      </c>
      <c r="B22" s="6" t="str">
        <f t="shared" si="13"/>
        <v>Friday</v>
      </c>
      <c r="C22" s="59"/>
      <c r="D22" s="92" t="s">
        <v>45</v>
      </c>
      <c r="E22" s="8" t="s">
        <v>21</v>
      </c>
      <c r="F22" s="116" t="s">
        <v>65</v>
      </c>
      <c r="G22" s="48" t="s">
        <v>81</v>
      </c>
      <c r="H22" s="9">
        <f t="shared" si="0"/>
        <v>12.023952117962699</v>
      </c>
      <c r="I22" s="9">
        <f t="shared" si="1"/>
        <v>6.156125692756727</v>
      </c>
      <c r="J22" s="9">
        <f t="shared" si="2"/>
        <v>0.2882992675507555</v>
      </c>
      <c r="K22" s="9">
        <f t="shared" si="3"/>
        <v>0.40612569275672733</v>
      </c>
      <c r="L22" s="9">
        <f t="shared" si="4"/>
        <v>0.5239521179626991</v>
      </c>
      <c r="M22" s="9">
        <f t="shared" si="5"/>
        <v>0.6417785431686709</v>
      </c>
      <c r="N22" s="9">
        <f t="shared" si="6"/>
        <v>0.7596049683746428</v>
      </c>
      <c r="O22" s="9">
        <f t="shared" si="7"/>
        <v>0.8917785431686709</v>
      </c>
      <c r="P22" s="9">
        <f>sunrise(Location!$B$4,Location!$B$5,Location!$B$6,2,A22,Location!$B$7,0)</f>
        <v>0.2882992675507555</v>
      </c>
      <c r="Q22" s="9">
        <f>sunset(Location!$B$4,Location!$B$5,Location!$B$6,2,A22,Location!$B$7,0)</f>
        <v>0.7596049683746428</v>
      </c>
      <c r="R22" s="9">
        <f t="shared" si="8"/>
        <v>0.47130570082388723</v>
      </c>
      <c r="S22" s="10">
        <f t="shared" si="9"/>
        <v>0.03927547506865727</v>
      </c>
      <c r="T22" s="9">
        <f t="shared" si="10"/>
        <v>23.528694299176113</v>
      </c>
      <c r="U22" s="10">
        <f t="shared" si="11"/>
        <v>0.04405785826467606</v>
      </c>
    </row>
    <row r="23" spans="1:21" ht="12.75">
      <c r="A23" s="5">
        <v>21</v>
      </c>
      <c r="B23" s="6" t="str">
        <f t="shared" si="13"/>
        <v>Saturday</v>
      </c>
      <c r="C23" s="59"/>
      <c r="D23" s="7"/>
      <c r="E23" s="8" t="s">
        <v>24</v>
      </c>
      <c r="F23" s="116" t="s">
        <v>66</v>
      </c>
      <c r="G23" s="137"/>
      <c r="H23" s="9">
        <f t="shared" si="0"/>
        <v>12.02386982773963</v>
      </c>
      <c r="I23" s="9">
        <f t="shared" si="1"/>
        <v>6.155749340739251</v>
      </c>
      <c r="J23" s="9">
        <f t="shared" si="2"/>
        <v>0.28762885373887376</v>
      </c>
      <c r="K23" s="9">
        <f t="shared" si="3"/>
        <v>0.4057493407392513</v>
      </c>
      <c r="L23" s="9">
        <f t="shared" si="4"/>
        <v>0.5238698277396288</v>
      </c>
      <c r="M23" s="9">
        <f t="shared" si="5"/>
        <v>0.6419903147400062</v>
      </c>
      <c r="N23" s="9">
        <f t="shared" si="6"/>
        <v>0.7601108017403837</v>
      </c>
      <c r="O23" s="9">
        <f t="shared" si="7"/>
        <v>0.8919903147400062</v>
      </c>
      <c r="P23" s="9">
        <f>sunrise(Location!$B$4,Location!$B$5,Location!$B$6,2,A23,Location!$B$7,0)</f>
        <v>0.28762885373887376</v>
      </c>
      <c r="Q23" s="9">
        <f>sunset(Location!$B$4,Location!$B$5,Location!$B$6,2,A23,Location!$B$7,0)</f>
        <v>0.7601108017403837</v>
      </c>
      <c r="R23" s="9">
        <f t="shared" si="8"/>
        <v>0.47248194800150994</v>
      </c>
      <c r="S23" s="10">
        <f t="shared" si="9"/>
        <v>0.0393734956667925</v>
      </c>
      <c r="T23" s="9">
        <f t="shared" si="10"/>
        <v>23.52751805199849</v>
      </c>
      <c r="U23" s="10">
        <f t="shared" si="11"/>
        <v>0.04395983766654083</v>
      </c>
    </row>
    <row r="24" spans="1:21" ht="12.75">
      <c r="A24" s="5">
        <v>22</v>
      </c>
      <c r="B24" s="6" t="str">
        <f aca="true" t="shared" si="14" ref="B24:B30">B3</f>
        <v>Sunday</v>
      </c>
      <c r="C24" s="59"/>
      <c r="D24" s="92" t="s">
        <v>48</v>
      </c>
      <c r="E24" s="8" t="s">
        <v>26</v>
      </c>
      <c r="F24" s="116" t="s">
        <v>68</v>
      </c>
      <c r="G24" s="139" t="s">
        <v>272</v>
      </c>
      <c r="H24" s="9">
        <f t="shared" si="0"/>
        <v>12.023780137746982</v>
      </c>
      <c r="I24" s="9">
        <f t="shared" si="1"/>
        <v>6.155364152060972</v>
      </c>
      <c r="J24" s="9">
        <f t="shared" si="2"/>
        <v>0.2869481663749621</v>
      </c>
      <c r="K24" s="9">
        <f t="shared" si="3"/>
        <v>0.40536415206097226</v>
      </c>
      <c r="L24" s="9">
        <f t="shared" si="4"/>
        <v>0.5237801377469824</v>
      </c>
      <c r="M24" s="9">
        <f t="shared" si="5"/>
        <v>0.6421961234329925</v>
      </c>
      <c r="N24" s="9">
        <f t="shared" si="6"/>
        <v>0.7606121091190027</v>
      </c>
      <c r="O24" s="9">
        <f t="shared" si="7"/>
        <v>0.8921961234329925</v>
      </c>
      <c r="P24" s="9">
        <f>sunrise(Location!$B$4,Location!$B$5,Location!$B$6,2,A24,Location!$B$7,0)</f>
        <v>0.2869481663749621</v>
      </c>
      <c r="Q24" s="9">
        <f>sunset(Location!$B$4,Location!$B$5,Location!$B$6,2,A24,Location!$B$7,0)</f>
        <v>0.7606121091190027</v>
      </c>
      <c r="R24" s="9">
        <f t="shared" si="8"/>
        <v>0.47366394274404056</v>
      </c>
      <c r="S24" s="10">
        <f t="shared" si="9"/>
        <v>0.039471995228670044</v>
      </c>
      <c r="T24" s="9">
        <f t="shared" si="10"/>
        <v>23.52633605725596</v>
      </c>
      <c r="U24" s="10">
        <f t="shared" si="11"/>
        <v>0.043861338104663285</v>
      </c>
    </row>
    <row r="25" spans="1:21" ht="12.75">
      <c r="A25" s="5">
        <v>23</v>
      </c>
      <c r="B25" s="6" t="str">
        <f t="shared" si="14"/>
        <v>Monday</v>
      </c>
      <c r="C25" s="59"/>
      <c r="D25" s="92" t="s">
        <v>50</v>
      </c>
      <c r="E25" s="8" t="s">
        <v>29</v>
      </c>
      <c r="F25" s="116" t="s">
        <v>70</v>
      </c>
      <c r="G25" s="137"/>
      <c r="H25" s="9">
        <f t="shared" si="0"/>
        <v>12.023683238390205</v>
      </c>
      <c r="I25" s="9">
        <f t="shared" si="1"/>
        <v>6.154970392454323</v>
      </c>
      <c r="J25" s="9">
        <f t="shared" si="2"/>
        <v>0.2862575465184396</v>
      </c>
      <c r="K25" s="9">
        <f t="shared" si="3"/>
        <v>0.40497039245432254</v>
      </c>
      <c r="L25" s="9">
        <f t="shared" si="4"/>
        <v>0.5236832383902055</v>
      </c>
      <c r="M25" s="9">
        <f t="shared" si="5"/>
        <v>0.6423960843260885</v>
      </c>
      <c r="N25" s="9">
        <f t="shared" si="6"/>
        <v>0.7611089302619715</v>
      </c>
      <c r="O25" s="9">
        <f t="shared" si="7"/>
        <v>0.8923960843260885</v>
      </c>
      <c r="P25" s="9">
        <f>sunrise(Location!$B$4,Location!$B$5,Location!$B$6,2,A25,Location!$B$7,0)</f>
        <v>0.2862575465184396</v>
      </c>
      <c r="Q25" s="9">
        <f>sunset(Location!$B$4,Location!$B$5,Location!$B$6,2,A25,Location!$B$7,0)</f>
        <v>0.7611089302619715</v>
      </c>
      <c r="R25" s="9">
        <f t="shared" si="8"/>
        <v>0.47485138374353186</v>
      </c>
      <c r="S25" s="10">
        <f t="shared" si="9"/>
        <v>0.03957094864529432</v>
      </c>
      <c r="T25" s="9">
        <f t="shared" si="10"/>
        <v>23.52514861625647</v>
      </c>
      <c r="U25" s="10">
        <f t="shared" si="11"/>
        <v>0.04376238468803901</v>
      </c>
    </row>
    <row r="26" spans="1:21" ht="12.75">
      <c r="A26" s="5">
        <v>24</v>
      </c>
      <c r="B26" s="6" t="str">
        <f t="shared" si="14"/>
        <v>Tuesday</v>
      </c>
      <c r="C26" s="59"/>
      <c r="D26" s="7"/>
      <c r="E26" s="8" t="s">
        <v>32</v>
      </c>
      <c r="F26" s="6" t="s">
        <v>71</v>
      </c>
      <c r="G26" s="47" t="s">
        <v>236</v>
      </c>
      <c r="H26" s="9">
        <f t="shared" si="0"/>
        <v>12.023579325263512</v>
      </c>
      <c r="I26" s="9">
        <f t="shared" si="1"/>
        <v>6.154568330787065</v>
      </c>
      <c r="J26" s="9">
        <f t="shared" si="2"/>
        <v>0.28555733631061725</v>
      </c>
      <c r="K26" s="9">
        <f t="shared" si="3"/>
        <v>0.404568330787064</v>
      </c>
      <c r="L26" s="9">
        <f t="shared" si="4"/>
        <v>0.5235793252635107</v>
      </c>
      <c r="M26" s="9">
        <f t="shared" si="5"/>
        <v>0.6425903197399574</v>
      </c>
      <c r="N26" s="9">
        <f t="shared" si="6"/>
        <v>0.7616013142164041</v>
      </c>
      <c r="O26" s="9">
        <f t="shared" si="7"/>
        <v>0.8925903197399574</v>
      </c>
      <c r="P26" s="9">
        <f>sunrise(Location!$B$4,Location!$B$5,Location!$B$6,2,A26,Location!$B$7,0)</f>
        <v>0.28555733631061725</v>
      </c>
      <c r="Q26" s="9">
        <f>sunset(Location!$B$4,Location!$B$5,Location!$B$6,2,A26,Location!$B$7,0)</f>
        <v>0.7616013142164041</v>
      </c>
      <c r="R26" s="9">
        <f t="shared" si="8"/>
        <v>0.47604397790578684</v>
      </c>
      <c r="S26" s="10">
        <f t="shared" si="9"/>
        <v>0.0396703314921489</v>
      </c>
      <c r="T26" s="9">
        <f t="shared" si="10"/>
        <v>23.523956022094215</v>
      </c>
      <c r="U26" s="10">
        <f t="shared" si="11"/>
        <v>0.04366300184118443</v>
      </c>
    </row>
    <row r="27" spans="1:21" ht="12.75">
      <c r="A27" s="5">
        <v>25</v>
      </c>
      <c r="B27" s="6" t="str">
        <f t="shared" si="14"/>
        <v>Wednesday</v>
      </c>
      <c r="C27" s="59"/>
      <c r="D27" s="92" t="s">
        <v>53</v>
      </c>
      <c r="E27" s="8" t="str">
        <f>IF(Location!B9="No","G","F")</f>
        <v>G</v>
      </c>
      <c r="F27" s="6" t="str">
        <f>IF(Location!B9="No","a.d. v Kal","a.d. bis vi Kal")</f>
        <v>a.d. v Kal</v>
      </c>
      <c r="G27" s="144" t="s">
        <v>83</v>
      </c>
      <c r="H27" s="9">
        <f t="shared" si="0"/>
        <v>12.023468598807444</v>
      </c>
      <c r="I27" s="9">
        <f t="shared" si="1"/>
        <v>6.154158238775198</v>
      </c>
      <c r="J27" s="9">
        <f t="shared" si="2"/>
        <v>0.284847878742952</v>
      </c>
      <c r="K27" s="9">
        <f t="shared" si="3"/>
        <v>0.4041582387751974</v>
      </c>
      <c r="L27" s="9">
        <f t="shared" si="4"/>
        <v>0.5234685988074429</v>
      </c>
      <c r="M27" s="9">
        <f t="shared" si="5"/>
        <v>0.6427789588396884</v>
      </c>
      <c r="N27" s="9">
        <f t="shared" si="6"/>
        <v>0.7620893188719338</v>
      </c>
      <c r="O27" s="9">
        <f t="shared" si="7"/>
        <v>0.8927789588396883</v>
      </c>
      <c r="P27" s="9">
        <f>sunrise(Location!$B$4,Location!$B$5,Location!$B$6,2,A27,Location!$B$7,0)</f>
        <v>0.284847878742952</v>
      </c>
      <c r="Q27" s="9">
        <f>sunset(Location!$B$4,Location!$B$5,Location!$B$6,2,A27,Location!$B$7,0)</f>
        <v>0.7620893188719338</v>
      </c>
      <c r="R27" s="9">
        <f t="shared" si="8"/>
        <v>0.4772414401289818</v>
      </c>
      <c r="S27" s="10">
        <f t="shared" si="9"/>
        <v>0.039770120010748485</v>
      </c>
      <c r="T27" s="9">
        <f t="shared" si="10"/>
        <v>23.52275855987102</v>
      </c>
      <c r="U27" s="10">
        <f t="shared" si="11"/>
        <v>0.043563213322584844</v>
      </c>
    </row>
    <row r="28" spans="1:21" ht="12.75">
      <c r="A28" s="5">
        <v>26</v>
      </c>
      <c r="B28" s="6" t="str">
        <f t="shared" si="14"/>
        <v>Thursday</v>
      </c>
      <c r="C28" s="59"/>
      <c r="D28" s="92" t="s">
        <v>55</v>
      </c>
      <c r="E28" s="8" t="str">
        <f>IF(Location!B9="No","A","G")</f>
        <v>A</v>
      </c>
      <c r="F28" s="6" t="str">
        <f>IF(Location!B9="No","a.d. iv Kal","a.d. v Kal")</f>
        <v>a.d. iv Kal</v>
      </c>
      <c r="G28" s="83"/>
      <c r="H28" s="9">
        <f t="shared" si="0"/>
        <v>12.023351263970868</v>
      </c>
      <c r="I28" s="9">
        <f t="shared" si="1"/>
        <v>6.153740390703076</v>
      </c>
      <c r="J28" s="9">
        <f t="shared" si="2"/>
        <v>0.28412951743528486</v>
      </c>
      <c r="K28" s="9">
        <f t="shared" si="3"/>
        <v>0.40374039070307643</v>
      </c>
      <c r="L28" s="9">
        <f t="shared" si="4"/>
        <v>0.5233512639708681</v>
      </c>
      <c r="M28" s="9">
        <f t="shared" si="5"/>
        <v>0.6429621372386597</v>
      </c>
      <c r="N28" s="9">
        <f t="shared" si="6"/>
        <v>0.7625730105064513</v>
      </c>
      <c r="O28" s="9">
        <f t="shared" si="7"/>
        <v>0.8929621372386597</v>
      </c>
      <c r="P28" s="9">
        <f>sunrise(Location!$B$4,Location!$B$5,Location!$B$6,2,A28,Location!$B$7,0)</f>
        <v>0.28412951743528486</v>
      </c>
      <c r="Q28" s="9">
        <f>sunset(Location!$B$4,Location!$B$5,Location!$B$6,2,A28,Location!$B$7,0)</f>
        <v>0.7625730105064513</v>
      </c>
      <c r="R28" s="9">
        <f t="shared" si="8"/>
        <v>0.47844349307116646</v>
      </c>
      <c r="S28" s="10">
        <f t="shared" si="9"/>
        <v>0.03987029108926387</v>
      </c>
      <c r="T28" s="9">
        <f t="shared" si="10"/>
        <v>23.521556506928835</v>
      </c>
      <c r="U28" s="10">
        <f t="shared" si="11"/>
        <v>0.04346304224406946</v>
      </c>
    </row>
    <row r="29" spans="1:21" ht="12.75">
      <c r="A29" s="5">
        <v>27</v>
      </c>
      <c r="B29" s="6" t="str">
        <f t="shared" si="14"/>
        <v>Friday</v>
      </c>
      <c r="C29" s="59"/>
      <c r="D29" s="7"/>
      <c r="E29" s="8" t="str">
        <f>IF(Location!B9="No","B","A")</f>
        <v>B</v>
      </c>
      <c r="F29" s="51" t="str">
        <f>IF(Location!B9="No","a.d. iii Kal","a.d. iv Kal")</f>
        <v>a.d. iii Kal</v>
      </c>
      <c r="G29" s="83"/>
      <c r="H29" s="9">
        <f t="shared" si="0"/>
        <v>12.02322752988065</v>
      </c>
      <c r="I29" s="9">
        <f t="shared" si="1"/>
        <v>6.153315063155178</v>
      </c>
      <c r="J29" s="9">
        <f t="shared" si="2"/>
        <v>0.28340259642970644</v>
      </c>
      <c r="K29" s="9">
        <f t="shared" si="3"/>
        <v>0.40331506315517807</v>
      </c>
      <c r="L29" s="9">
        <f t="shared" si="4"/>
        <v>0.5232275298806497</v>
      </c>
      <c r="M29" s="9">
        <f t="shared" si="5"/>
        <v>0.6431399966061213</v>
      </c>
      <c r="N29" s="9">
        <f t="shared" si="6"/>
        <v>0.7630524633315929</v>
      </c>
      <c r="O29" s="9">
        <f t="shared" si="7"/>
        <v>0.8931399966061213</v>
      </c>
      <c r="P29" s="9">
        <f>sunrise(Location!$B$4,Location!$B$5,Location!$B$6,2,A29,Location!$B$7,0)</f>
        <v>0.28340259642970644</v>
      </c>
      <c r="Q29" s="9">
        <f>sunset(Location!$B$4,Location!$B$5,Location!$B$6,2,A29,Location!$B$7,0)</f>
        <v>0.7630524633315929</v>
      </c>
      <c r="R29" s="9">
        <f t="shared" si="8"/>
        <v>0.4796498669018865</v>
      </c>
      <c r="S29" s="10">
        <f t="shared" si="9"/>
        <v>0.039970822241823876</v>
      </c>
      <c r="T29" s="9">
        <f t="shared" si="10"/>
        <v>23.520350133098113</v>
      </c>
      <c r="U29" s="10">
        <f t="shared" si="11"/>
        <v>0.04336251109150945</v>
      </c>
    </row>
    <row r="30" spans="1:21" ht="12.75">
      <c r="A30" s="5">
        <v>28</v>
      </c>
      <c r="B30" s="6" t="str">
        <f t="shared" si="14"/>
        <v>Saturday</v>
      </c>
      <c r="C30" s="59"/>
      <c r="D30" s="92" t="s">
        <v>59</v>
      </c>
      <c r="E30" s="8" t="str">
        <f>IF(Location!B9="No","C","B")</f>
        <v>C</v>
      </c>
      <c r="F30" s="6" t="str">
        <f>IF(Location!B9="No","Prid. Kal","a.d. iii Kal")</f>
        <v>Prid. Kal</v>
      </c>
      <c r="G30" s="83"/>
      <c r="H30" s="9">
        <f t="shared" si="0"/>
        <v>12.023097609518482</v>
      </c>
      <c r="I30" s="9">
        <f t="shared" si="1"/>
        <v>6.152882534756668</v>
      </c>
      <c r="J30" s="9">
        <f t="shared" si="2"/>
        <v>0.2826674599948552</v>
      </c>
      <c r="K30" s="9">
        <f t="shared" si="3"/>
        <v>0.4028825347566683</v>
      </c>
      <c r="L30" s="9">
        <f t="shared" si="4"/>
        <v>0.5230976095184814</v>
      </c>
      <c r="M30" s="9">
        <f t="shared" si="5"/>
        <v>0.6433126842802944</v>
      </c>
      <c r="N30" s="9">
        <f t="shared" si="6"/>
        <v>0.7635277590421075</v>
      </c>
      <c r="O30" s="9">
        <f t="shared" si="7"/>
        <v>0.8933126842802943</v>
      </c>
      <c r="P30" s="9">
        <f>sunrise(Location!$B$4,Location!$B$5,Location!$B$6,2,A30,Location!$B$7,0)</f>
        <v>0.2826674599948552</v>
      </c>
      <c r="Q30" s="9">
        <f>sunset(Location!$B$4,Location!$B$5,Location!$B$6,2,A30,Location!$B$7,0)</f>
        <v>0.7635277590421075</v>
      </c>
      <c r="R30" s="9">
        <f t="shared" si="8"/>
        <v>0.48086029904725225</v>
      </c>
      <c r="S30" s="10">
        <f t="shared" si="9"/>
        <v>0.04007169158727102</v>
      </c>
      <c r="T30" s="9">
        <f t="shared" si="10"/>
        <v>23.51913970095275</v>
      </c>
      <c r="U30" s="10">
        <f t="shared" si="11"/>
        <v>0.043261641746062306</v>
      </c>
    </row>
    <row r="31" spans="1:21" ht="12.75">
      <c r="A31" s="5">
        <f>IF(Location!B9="Yes",29,"")</f>
      </c>
      <c r="B31" s="6">
        <f>IF(Location!B9="Yes",B3,"")</f>
      </c>
      <c r="C31" s="59"/>
      <c r="D31" s="6"/>
      <c r="E31" s="8">
        <f>IF(Location!B9="No","","C")</f>
      </c>
      <c r="F31" s="6">
        <f>IF(Location!B9="Yes","Prid. Kal","")</f>
      </c>
      <c r="G31" s="12"/>
      <c r="H31" s="9">
        <f>IF(A31=29,(T31/2)+Q31-"12:00:00","")</f>
      </c>
      <c r="I31" s="9">
        <f>IF(A31=29,H31+((J31-H31)/2),"")</f>
      </c>
      <c r="J31" s="9">
        <f>IF(A31=29,P31,"")</f>
      </c>
      <c r="K31" s="9">
        <f>IF(A31=29,J31+((L31-J31)/2),"")</f>
      </c>
      <c r="L31" s="9">
        <f>IF(A31=29,(R31/2)+J31,"")</f>
      </c>
      <c r="M31" s="9">
        <f>IF(A31=29,((N31-L31)/2)+L31,"")</f>
      </c>
      <c r="N31" s="9">
        <f>IF(A31=29,Q31,"")</f>
      </c>
      <c r="O31" s="9">
        <f>IF(A31=29,3*U31+N31,"")</f>
      </c>
      <c r="P31" s="9">
        <f>IF(A31=29,sunrise(Location!$B$4,Location!$B$5,Location!$B$6,2,A31,Location!$B$7,0),"")</f>
      </c>
      <c r="Q31" s="9">
        <f>IF(A31=29,sunset(Location!$B$4,Location!$B$5,Location!$B$6,2,A31,Location!$B$7,0),"")</f>
      </c>
      <c r="R31" s="9">
        <f>IF(A31=29,Q31-P31,"")</f>
      </c>
      <c r="S31" s="10">
        <f>IF(A31=29,R31/12,"")</f>
      </c>
      <c r="T31" s="9">
        <f>IF(A31=29,(24-(Q31-P31)),"")</f>
      </c>
      <c r="U31" s="10">
        <f>IF(A31=29,"1:00:00"-S31+"1:00:00","")</f>
      </c>
    </row>
    <row r="32" spans="1:21" ht="12.75">
      <c r="A32" s="6"/>
      <c r="B32" s="6"/>
      <c r="C32" s="6"/>
      <c r="D32" s="6"/>
      <c r="F32" s="6"/>
      <c r="G32" s="15"/>
      <c r="H32" s="9"/>
      <c r="I32" s="9"/>
      <c r="J32" s="9"/>
      <c r="K32" s="9"/>
      <c r="L32" s="9"/>
      <c r="M32" s="9"/>
      <c r="N32" s="9"/>
      <c r="O32" s="9"/>
      <c r="P32" s="9"/>
      <c r="Q32" s="9"/>
      <c r="R32" s="9"/>
      <c r="S32" s="10"/>
      <c r="T32" s="9"/>
      <c r="U32" s="10"/>
    </row>
    <row r="33" spans="1:21" ht="12.75">
      <c r="A33" s="6"/>
      <c r="C33" s="6"/>
      <c r="D33" s="6"/>
      <c r="F33" s="6"/>
      <c r="G33" s="15"/>
      <c r="H33" s="9"/>
      <c r="I33" s="9"/>
      <c r="J33" s="9"/>
      <c r="K33" s="9"/>
      <c r="L33" s="9"/>
      <c r="M33" s="9"/>
      <c r="N33" s="9"/>
      <c r="O33" s="9"/>
      <c r="P33" s="9"/>
      <c r="Q33" s="9"/>
      <c r="R33" s="9"/>
      <c r="S33" s="10"/>
      <c r="T33" s="9"/>
      <c r="U33" s="10"/>
    </row>
    <row r="34" spans="1:21" ht="12.75">
      <c r="A34" s="6"/>
      <c r="B34" s="6"/>
      <c r="C34" s="6"/>
      <c r="D34" s="6"/>
      <c r="E34" s="11"/>
      <c r="F34" s="6"/>
      <c r="G34" s="15"/>
      <c r="H34" s="9"/>
      <c r="I34" s="9"/>
      <c r="J34" s="9"/>
      <c r="K34" s="9"/>
      <c r="L34" s="9"/>
      <c r="M34" s="9"/>
      <c r="N34" s="9"/>
      <c r="O34" s="9"/>
      <c r="P34" s="9"/>
      <c r="Q34" s="9"/>
      <c r="R34" s="9"/>
      <c r="S34" s="10"/>
      <c r="T34" s="9"/>
      <c r="U34" s="10"/>
    </row>
    <row r="35" spans="1:21" ht="12.75">
      <c r="A35" s="6"/>
      <c r="C35" s="6"/>
      <c r="D35" s="6"/>
      <c r="E35" s="13"/>
      <c r="F35" s="6"/>
      <c r="G35" s="15"/>
      <c r="H35" s="9"/>
      <c r="I35" s="9"/>
      <c r="J35" s="9"/>
      <c r="K35" s="9"/>
      <c r="L35" s="9"/>
      <c r="M35" s="9"/>
      <c r="N35" s="9"/>
      <c r="O35" s="9"/>
      <c r="P35" s="9"/>
      <c r="Q35" s="9"/>
      <c r="R35" s="9"/>
      <c r="S35" s="10"/>
      <c r="T35" s="9"/>
      <c r="U35" s="10"/>
    </row>
    <row r="36" spans="1:21" ht="12.75">
      <c r="A36" s="6"/>
      <c r="C36" s="6"/>
      <c r="D36" s="52"/>
      <c r="E36" s="6"/>
      <c r="F36" s="6"/>
      <c r="G36" s="15"/>
      <c r="H36" s="9"/>
      <c r="I36" s="9"/>
      <c r="J36" s="9"/>
      <c r="K36" s="9"/>
      <c r="L36" s="9"/>
      <c r="M36" s="9"/>
      <c r="N36" s="9"/>
      <c r="O36" s="9"/>
      <c r="P36" s="9"/>
      <c r="Q36" s="9"/>
      <c r="R36" s="9"/>
      <c r="S36" s="10"/>
      <c r="T36" s="9"/>
      <c r="U36" s="10"/>
    </row>
    <row r="37" spans="1:21" ht="12.75">
      <c r="A37" s="6"/>
      <c r="C37" s="58" t="str">
        <f>Location!C13</f>
        <v>D</v>
      </c>
      <c r="E37" s="96" t="str">
        <f>IF(Location!B9="Yes",Location!C14,Location!C13)</f>
        <v>D</v>
      </c>
      <c r="G37" s="15"/>
      <c r="H37" s="9"/>
      <c r="I37" s="9"/>
      <c r="J37" s="9"/>
      <c r="K37" s="9"/>
      <c r="L37" s="9"/>
      <c r="M37" s="9"/>
      <c r="N37" s="9"/>
      <c r="O37" s="9"/>
      <c r="P37" s="9"/>
      <c r="Q37" s="9"/>
      <c r="R37" s="9"/>
      <c r="S37" s="10"/>
      <c r="T37" s="9"/>
      <c r="U37" s="10"/>
    </row>
    <row r="38" ht="12.75">
      <c r="G38" s="2"/>
    </row>
    <row r="39" ht="12.75">
      <c r="G39" s="2"/>
    </row>
    <row r="40" ht="12.75">
      <c r="G40" s="2"/>
    </row>
    <row r="41" ht="12.75">
      <c r="G41" s="2"/>
    </row>
    <row r="42" ht="12.75">
      <c r="G42" s="2"/>
    </row>
    <row r="43" ht="12.75">
      <c r="G43" s="2"/>
    </row>
    <row r="44" ht="12.75">
      <c r="G44" s="2"/>
    </row>
    <row r="45" ht="12.75">
      <c r="G45" s="2"/>
    </row>
    <row r="46" ht="12.75">
      <c r="G46" s="2"/>
    </row>
    <row r="47" ht="12.75">
      <c r="G47" s="2"/>
    </row>
    <row r="48" ht="12.75">
      <c r="G48" s="2"/>
    </row>
    <row r="49" ht="12.75">
      <c r="G49" s="2"/>
    </row>
    <row r="50" ht="12.75">
      <c r="G50" s="2"/>
    </row>
    <row r="51" ht="12.75">
      <c r="G51" s="2"/>
    </row>
    <row r="52" ht="12.75">
      <c r="G52" s="2"/>
    </row>
    <row r="53" ht="12.75">
      <c r="G53" s="2"/>
    </row>
    <row r="54" ht="12.75">
      <c r="G54" s="2"/>
    </row>
    <row r="55" ht="12.75">
      <c r="G55" s="2"/>
    </row>
    <row r="56" ht="12.75">
      <c r="G56" s="2"/>
    </row>
    <row r="57" ht="12.75">
      <c r="G57" s="2"/>
    </row>
    <row r="58" ht="12.75">
      <c r="G58" s="2"/>
    </row>
    <row r="59" ht="12.75">
      <c r="G59" s="2"/>
    </row>
    <row r="60" ht="12.75">
      <c r="G60" s="2"/>
    </row>
    <row r="61" ht="12.75">
      <c r="G61" s="2"/>
    </row>
    <row r="62" ht="12.75">
      <c r="G62" s="2"/>
    </row>
    <row r="63" ht="12.75">
      <c r="G63" s="2"/>
    </row>
    <row r="64" ht="12.75">
      <c r="G64" s="2"/>
    </row>
    <row r="65" ht="12.75">
      <c r="G65" s="2"/>
    </row>
    <row r="66" spans="2:7" ht="12.75">
      <c r="B66" s="6"/>
      <c r="G66" s="2"/>
    </row>
    <row r="67" spans="2:7" ht="12.75">
      <c r="B67" s="6"/>
      <c r="D67" s="6"/>
      <c r="F67" s="6"/>
      <c r="G67" s="2"/>
    </row>
    <row r="68" spans="1:21" ht="12.75">
      <c r="A68" s="6"/>
      <c r="B68" s="6"/>
      <c r="C68" s="6"/>
      <c r="D68" s="6"/>
      <c r="E68" s="6"/>
      <c r="F68" s="6"/>
      <c r="G68" s="15"/>
      <c r="H68" s="9"/>
      <c r="I68" s="9"/>
      <c r="J68" s="9"/>
      <c r="K68" s="9"/>
      <c r="L68" s="9"/>
      <c r="M68" s="9"/>
      <c r="N68" s="9"/>
      <c r="O68" s="9"/>
      <c r="P68" s="9"/>
      <c r="Q68" s="9"/>
      <c r="R68" s="9"/>
      <c r="S68" s="10"/>
      <c r="T68" s="9"/>
      <c r="U68" s="10"/>
    </row>
    <row r="69" spans="1:21" ht="12.75">
      <c r="A69" s="6"/>
      <c r="B69" s="6"/>
      <c r="C69" s="6"/>
      <c r="D69" s="6"/>
      <c r="E69" s="6"/>
      <c r="F69" s="6"/>
      <c r="G69" s="15"/>
      <c r="H69" s="9"/>
      <c r="I69" s="9"/>
      <c r="J69" s="9"/>
      <c r="K69" s="9"/>
      <c r="L69" s="9"/>
      <c r="M69" s="9"/>
      <c r="N69" s="9"/>
      <c r="O69" s="9"/>
      <c r="P69" s="9"/>
      <c r="Q69" s="9"/>
      <c r="R69" s="9"/>
      <c r="S69" s="10"/>
      <c r="T69" s="9"/>
      <c r="U69" s="10"/>
    </row>
    <row r="70" spans="1:21" ht="12.75">
      <c r="A70" s="6"/>
      <c r="B70" s="6"/>
      <c r="C70" s="6"/>
      <c r="D70" s="6"/>
      <c r="E70" s="6"/>
      <c r="F70" s="6"/>
      <c r="G70" s="15"/>
      <c r="H70" s="9"/>
      <c r="I70" s="9"/>
      <c r="J70" s="9"/>
      <c r="K70" s="9"/>
      <c r="L70" s="9"/>
      <c r="M70" s="9"/>
      <c r="N70" s="9"/>
      <c r="O70" s="9"/>
      <c r="P70" s="9"/>
      <c r="Q70" s="9"/>
      <c r="R70" s="9"/>
      <c r="S70" s="10"/>
      <c r="T70" s="9"/>
      <c r="U70" s="10"/>
    </row>
    <row r="71" spans="1:21" ht="12.75">
      <c r="A71" s="6"/>
      <c r="B71" s="6"/>
      <c r="C71" s="6"/>
      <c r="D71" s="6"/>
      <c r="E71" s="6"/>
      <c r="F71" s="6"/>
      <c r="G71" s="15"/>
      <c r="H71" s="9"/>
      <c r="I71" s="9"/>
      <c r="J71" s="9"/>
      <c r="K71" s="9"/>
      <c r="L71" s="9"/>
      <c r="M71" s="9"/>
      <c r="N71" s="9"/>
      <c r="O71" s="9"/>
      <c r="P71" s="9"/>
      <c r="Q71" s="9"/>
      <c r="R71" s="9"/>
      <c r="S71" s="10"/>
      <c r="T71" s="9"/>
      <c r="U71" s="10"/>
    </row>
    <row r="72" spans="1:21" ht="12.75">
      <c r="A72" s="6"/>
      <c r="B72" s="6"/>
      <c r="C72" s="6"/>
      <c r="D72" s="6"/>
      <c r="E72" s="6"/>
      <c r="F72" s="6"/>
      <c r="G72" s="15"/>
      <c r="H72" s="9"/>
      <c r="I72" s="9"/>
      <c r="J72" s="9"/>
      <c r="K72" s="9"/>
      <c r="L72" s="9"/>
      <c r="M72" s="9"/>
      <c r="N72" s="9"/>
      <c r="O72" s="9"/>
      <c r="P72" s="9"/>
      <c r="Q72" s="9"/>
      <c r="R72" s="9"/>
      <c r="S72" s="10"/>
      <c r="T72" s="9"/>
      <c r="U72" s="10"/>
    </row>
    <row r="73" spans="1:21" ht="12.75">
      <c r="A73" s="6"/>
      <c r="B73" s="6"/>
      <c r="C73" s="6"/>
      <c r="D73" s="6"/>
      <c r="E73" s="6"/>
      <c r="F73" s="6"/>
      <c r="G73" s="15"/>
      <c r="H73" s="9"/>
      <c r="I73" s="9"/>
      <c r="J73" s="9"/>
      <c r="K73" s="9"/>
      <c r="L73" s="9"/>
      <c r="M73" s="9"/>
      <c r="N73" s="9"/>
      <c r="O73" s="9"/>
      <c r="P73" s="9"/>
      <c r="Q73" s="9"/>
      <c r="R73" s="9"/>
      <c r="S73" s="10"/>
      <c r="T73" s="9"/>
      <c r="U73" s="10"/>
    </row>
    <row r="74" spans="1:21" ht="12.75">
      <c r="A74" s="6"/>
      <c r="B74" s="6"/>
      <c r="C74" s="6"/>
      <c r="D74" s="6"/>
      <c r="E74" s="6"/>
      <c r="F74" s="6"/>
      <c r="G74" s="14"/>
      <c r="H74" s="9"/>
      <c r="I74" s="9"/>
      <c r="J74" s="9"/>
      <c r="K74" s="9"/>
      <c r="L74" s="9"/>
      <c r="M74" s="9"/>
      <c r="N74" s="9"/>
      <c r="O74" s="9"/>
      <c r="P74" s="9"/>
      <c r="Q74" s="9"/>
      <c r="R74" s="9"/>
      <c r="S74" s="10"/>
      <c r="T74" s="9"/>
      <c r="U74" s="10"/>
    </row>
    <row r="75" spans="1:21" ht="12.75">
      <c r="A75" s="6"/>
      <c r="B75" s="6"/>
      <c r="C75" s="6"/>
      <c r="D75" s="6"/>
      <c r="E75" s="6"/>
      <c r="F75" s="6"/>
      <c r="G75" s="14"/>
      <c r="H75" s="9"/>
      <c r="I75" s="9"/>
      <c r="J75" s="9"/>
      <c r="K75" s="9"/>
      <c r="L75" s="9"/>
      <c r="M75" s="9"/>
      <c r="N75" s="9"/>
      <c r="O75" s="9"/>
      <c r="P75" s="9"/>
      <c r="Q75" s="9"/>
      <c r="R75" s="9"/>
      <c r="S75" s="10"/>
      <c r="T75" s="9"/>
      <c r="U75" s="10"/>
    </row>
    <row r="76" spans="1:21" ht="12.75">
      <c r="A76" s="6"/>
      <c r="C76" s="6"/>
      <c r="D76" s="6"/>
      <c r="E76" s="6"/>
      <c r="F76" s="6"/>
      <c r="G76" s="14"/>
      <c r="H76" s="9"/>
      <c r="I76" s="9"/>
      <c r="J76" s="9"/>
      <c r="K76" s="9"/>
      <c r="L76" s="9"/>
      <c r="M76" s="9"/>
      <c r="N76" s="9"/>
      <c r="O76" s="9"/>
      <c r="P76" s="9"/>
      <c r="Q76" s="9"/>
      <c r="R76" s="9"/>
      <c r="S76" s="10"/>
      <c r="T76" s="9"/>
      <c r="U76" s="10"/>
    </row>
    <row r="77" spans="1:21" ht="12.75">
      <c r="A77" s="6"/>
      <c r="C77" s="6"/>
      <c r="E77" s="6"/>
      <c r="G77" s="14"/>
      <c r="H77" s="9"/>
      <c r="I77" s="9"/>
      <c r="J77" s="9"/>
      <c r="K77" s="9"/>
      <c r="L77" s="9"/>
      <c r="M77" s="9"/>
      <c r="N77" s="9"/>
      <c r="O77" s="9"/>
      <c r="P77" s="9"/>
      <c r="Q77" s="9"/>
      <c r="R77" s="9"/>
      <c r="S77" s="10"/>
      <c r="T77" s="9"/>
      <c r="U77" s="10"/>
    </row>
    <row r="78" ht="12.75">
      <c r="G78" s="2"/>
    </row>
    <row r="79" ht="12.75">
      <c r="G79" s="2"/>
    </row>
    <row r="80" ht="12.75">
      <c r="G80" s="2"/>
    </row>
    <row r="81" ht="12.75">
      <c r="G81" s="2"/>
    </row>
    <row r="82" ht="12.75">
      <c r="G82" s="2"/>
    </row>
    <row r="83" ht="12.75">
      <c r="G83" s="2"/>
    </row>
    <row r="84" ht="12.75">
      <c r="G84" s="2"/>
    </row>
    <row r="85" ht="12.75">
      <c r="G85" s="2"/>
    </row>
    <row r="86" ht="12.75">
      <c r="G86" s="2"/>
    </row>
    <row r="87" ht="12.75">
      <c r="G87" s="2"/>
    </row>
    <row r="88" ht="12.75">
      <c r="G88" s="2"/>
    </row>
    <row r="89" ht="12.75">
      <c r="G89" s="2"/>
    </row>
    <row r="90" ht="12.75">
      <c r="G90" s="2"/>
    </row>
    <row r="91" ht="12.75">
      <c r="G91" s="2"/>
    </row>
    <row r="92" ht="12.75">
      <c r="G92" s="2"/>
    </row>
    <row r="93" ht="12.75">
      <c r="G93" s="2"/>
    </row>
    <row r="94" ht="12.75">
      <c r="G94" s="2"/>
    </row>
    <row r="95" ht="12.75">
      <c r="G95" s="2"/>
    </row>
    <row r="96" ht="12.75">
      <c r="G96" s="2"/>
    </row>
    <row r="97" ht="12.75">
      <c r="G97" s="2"/>
    </row>
    <row r="98" ht="12.75">
      <c r="G98" s="2"/>
    </row>
    <row r="99" ht="12.75">
      <c r="G99" s="2"/>
    </row>
    <row r="100" ht="12.75">
      <c r="G100" s="2"/>
    </row>
    <row r="101" ht="12.75">
      <c r="G101" s="2"/>
    </row>
    <row r="102" ht="12.75">
      <c r="G102" s="2"/>
    </row>
    <row r="103" ht="12.75">
      <c r="G103" s="2"/>
    </row>
    <row r="104" ht="12.75">
      <c r="G104" s="2"/>
    </row>
    <row r="105" ht="12.75">
      <c r="G105" s="2"/>
    </row>
    <row r="106" ht="12.75">
      <c r="G106" s="2"/>
    </row>
    <row r="107" ht="12.75">
      <c r="G107" s="2"/>
    </row>
    <row r="108" ht="12.75">
      <c r="G108" s="2"/>
    </row>
    <row r="109" spans="2:7" ht="12.75">
      <c r="B109" s="6"/>
      <c r="G109" s="2"/>
    </row>
    <row r="110" spans="2:7" ht="12.75">
      <c r="B110" s="6"/>
      <c r="D110" s="6"/>
      <c r="F110" s="6"/>
      <c r="G110" s="2"/>
    </row>
    <row r="111" spans="1:21" ht="12.75">
      <c r="A111" s="6"/>
      <c r="B111" s="6"/>
      <c r="C111" s="6"/>
      <c r="D111" s="6"/>
      <c r="E111" s="6"/>
      <c r="F111" s="6"/>
      <c r="G111" s="14"/>
      <c r="H111" s="9"/>
      <c r="I111" s="9"/>
      <c r="J111" s="9"/>
      <c r="K111" s="9"/>
      <c r="L111" s="9"/>
      <c r="M111" s="9"/>
      <c r="N111" s="9"/>
      <c r="O111" s="9"/>
      <c r="P111" s="9"/>
      <c r="Q111" s="9"/>
      <c r="R111" s="9"/>
      <c r="S111" s="10"/>
      <c r="T111" s="9"/>
      <c r="U111" s="10"/>
    </row>
    <row r="112" spans="1:21" ht="12.75">
      <c r="A112" s="6"/>
      <c r="B112" s="6"/>
      <c r="C112" s="6"/>
      <c r="D112" s="6"/>
      <c r="E112" s="6"/>
      <c r="F112" s="6"/>
      <c r="G112" s="14"/>
      <c r="H112" s="9"/>
      <c r="I112" s="9"/>
      <c r="J112" s="9"/>
      <c r="K112" s="9"/>
      <c r="L112" s="9"/>
      <c r="M112" s="9"/>
      <c r="N112" s="9"/>
      <c r="O112" s="9"/>
      <c r="P112" s="9"/>
      <c r="Q112" s="9"/>
      <c r="R112" s="9"/>
      <c r="S112" s="10"/>
      <c r="T112" s="9"/>
      <c r="U112" s="10"/>
    </row>
    <row r="113" spans="1:21" ht="12.75">
      <c r="A113" s="6"/>
      <c r="B113" s="6"/>
      <c r="C113" s="6"/>
      <c r="D113" s="6"/>
      <c r="E113" s="6"/>
      <c r="F113" s="6"/>
      <c r="G113" s="14"/>
      <c r="H113" s="9"/>
      <c r="I113" s="9"/>
      <c r="J113" s="9"/>
      <c r="K113" s="9"/>
      <c r="L113" s="9"/>
      <c r="M113" s="9"/>
      <c r="N113" s="9"/>
      <c r="O113" s="9"/>
      <c r="P113" s="9"/>
      <c r="Q113" s="9"/>
      <c r="R113" s="9"/>
      <c r="S113" s="10"/>
      <c r="T113" s="9"/>
      <c r="U113" s="10"/>
    </row>
    <row r="114" spans="1:21" ht="12.75">
      <c r="A114" s="6"/>
      <c r="B114" s="6"/>
      <c r="C114" s="6"/>
      <c r="D114" s="6"/>
      <c r="E114" s="6"/>
      <c r="F114" s="6"/>
      <c r="G114" s="14"/>
      <c r="H114" s="9"/>
      <c r="I114" s="9"/>
      <c r="J114" s="9"/>
      <c r="K114" s="9"/>
      <c r="L114" s="9"/>
      <c r="M114" s="9"/>
      <c r="N114" s="9"/>
      <c r="O114" s="9"/>
      <c r="P114" s="9"/>
      <c r="Q114" s="9"/>
      <c r="R114" s="9"/>
      <c r="S114" s="10"/>
      <c r="T114" s="9"/>
      <c r="U114" s="10"/>
    </row>
    <row r="115" spans="1:21" ht="12.75">
      <c r="A115" s="6"/>
      <c r="B115" s="6"/>
      <c r="C115" s="6"/>
      <c r="D115" s="6"/>
      <c r="E115" s="6"/>
      <c r="F115" s="6"/>
      <c r="G115" s="14"/>
      <c r="H115" s="9"/>
      <c r="I115" s="9"/>
      <c r="J115" s="9"/>
      <c r="K115" s="9"/>
      <c r="L115" s="9"/>
      <c r="M115" s="9"/>
      <c r="N115" s="9"/>
      <c r="O115" s="9"/>
      <c r="P115" s="9"/>
      <c r="Q115" s="9"/>
      <c r="R115" s="9"/>
      <c r="S115" s="10"/>
      <c r="T115" s="9"/>
      <c r="U115" s="10"/>
    </row>
    <row r="116" spans="1:21" ht="12.75">
      <c r="A116" s="6"/>
      <c r="C116" s="6"/>
      <c r="D116" s="6"/>
      <c r="E116" s="6"/>
      <c r="F116" s="6"/>
      <c r="G116" s="14"/>
      <c r="H116" s="9"/>
      <c r="I116" s="9"/>
      <c r="J116" s="9"/>
      <c r="K116" s="9"/>
      <c r="L116" s="9"/>
      <c r="M116" s="9"/>
      <c r="N116" s="9"/>
      <c r="O116" s="9"/>
      <c r="P116" s="9"/>
      <c r="Q116" s="9"/>
      <c r="R116" s="9"/>
      <c r="S116" s="10"/>
      <c r="T116" s="9"/>
      <c r="U116" s="10"/>
    </row>
    <row r="117" spans="1:21" ht="12.75">
      <c r="A117" s="6"/>
      <c r="C117" s="6"/>
      <c r="E117" s="6"/>
      <c r="G117" s="14"/>
      <c r="H117" s="9"/>
      <c r="I117" s="9"/>
      <c r="J117" s="9"/>
      <c r="K117" s="9"/>
      <c r="L117" s="9"/>
      <c r="M117" s="9"/>
      <c r="N117" s="9"/>
      <c r="O117" s="9"/>
      <c r="P117" s="9"/>
      <c r="Q117" s="9"/>
      <c r="R117" s="9"/>
      <c r="S117" s="10"/>
      <c r="T117" s="9"/>
      <c r="U117" s="10"/>
    </row>
    <row r="118" ht="12.75">
      <c r="G118" s="2"/>
    </row>
    <row r="119" ht="12.75">
      <c r="G119" s="2"/>
    </row>
    <row r="120" ht="12.75">
      <c r="G120" s="2"/>
    </row>
    <row r="121" ht="12.75">
      <c r="G121" s="2"/>
    </row>
    <row r="122" ht="12.75">
      <c r="G122" s="2"/>
    </row>
    <row r="123" ht="12.75">
      <c r="G123" s="2"/>
    </row>
    <row r="124" ht="12.75">
      <c r="G124" s="2"/>
    </row>
    <row r="125" ht="12.75">
      <c r="G125" s="2"/>
    </row>
    <row r="126" ht="12.75">
      <c r="G126" s="2"/>
    </row>
    <row r="127" ht="12.75">
      <c r="G127" s="2"/>
    </row>
    <row r="128" ht="12.75">
      <c r="G128" s="2"/>
    </row>
    <row r="129" ht="12.75">
      <c r="G129" s="2"/>
    </row>
    <row r="130" ht="12.75">
      <c r="G130" s="2"/>
    </row>
    <row r="131" ht="12.75">
      <c r="G131" s="2"/>
    </row>
    <row r="132" ht="12.75">
      <c r="G132" s="2"/>
    </row>
    <row r="133" ht="12.75">
      <c r="G133" s="2"/>
    </row>
    <row r="134" ht="12.75">
      <c r="G134" s="2"/>
    </row>
    <row r="135" ht="12.75">
      <c r="G135" s="2"/>
    </row>
    <row r="136" ht="12.75">
      <c r="G136" s="2"/>
    </row>
    <row r="137" ht="12.75">
      <c r="G137" s="2"/>
    </row>
    <row r="138" ht="12.75">
      <c r="G138" s="2"/>
    </row>
    <row r="139" ht="12.75">
      <c r="G139" s="2"/>
    </row>
    <row r="140" ht="12.75">
      <c r="G140" s="2"/>
    </row>
    <row r="141" ht="12.75">
      <c r="G141" s="2"/>
    </row>
    <row r="142" ht="12.75">
      <c r="G142" s="2"/>
    </row>
    <row r="143" ht="12.75">
      <c r="G143" s="2"/>
    </row>
    <row r="144" ht="12.75">
      <c r="G144" s="2"/>
    </row>
    <row r="145" ht="12.75">
      <c r="G145" s="2"/>
    </row>
    <row r="146" ht="12.75">
      <c r="G146" s="2"/>
    </row>
    <row r="147" ht="12.75">
      <c r="G147" s="2"/>
    </row>
    <row r="148" spans="2:7" ht="12.75">
      <c r="B148" s="6"/>
      <c r="G148" s="2"/>
    </row>
    <row r="149" spans="2:7" ht="12.75">
      <c r="B149" s="6"/>
      <c r="D149" s="6"/>
      <c r="F149" s="6"/>
      <c r="G149" s="2"/>
    </row>
    <row r="150" spans="1:21" ht="12.75">
      <c r="A150" s="6"/>
      <c r="B150" s="6"/>
      <c r="C150" s="6"/>
      <c r="D150" s="6"/>
      <c r="E150" s="6"/>
      <c r="F150" s="6"/>
      <c r="G150" s="14"/>
      <c r="H150" s="9"/>
      <c r="I150" s="9"/>
      <c r="J150" s="9"/>
      <c r="K150" s="9"/>
      <c r="L150" s="9"/>
      <c r="M150" s="9"/>
      <c r="N150" s="9"/>
      <c r="O150" s="9"/>
      <c r="P150" s="9"/>
      <c r="Q150" s="9"/>
      <c r="R150" s="9"/>
      <c r="S150" s="10"/>
      <c r="T150" s="9"/>
      <c r="U150" s="10"/>
    </row>
    <row r="151" spans="1:21" ht="12.75">
      <c r="A151" s="6"/>
      <c r="B151" s="6"/>
      <c r="C151" s="6"/>
      <c r="D151" s="6"/>
      <c r="E151" s="6"/>
      <c r="F151" s="6"/>
      <c r="G151" s="14"/>
      <c r="H151" s="9"/>
      <c r="I151" s="9"/>
      <c r="J151" s="9"/>
      <c r="K151" s="9"/>
      <c r="L151" s="9"/>
      <c r="M151" s="9"/>
      <c r="N151" s="9"/>
      <c r="O151" s="9"/>
      <c r="P151" s="9"/>
      <c r="Q151" s="9"/>
      <c r="R151" s="9"/>
      <c r="S151" s="10"/>
      <c r="T151" s="9"/>
      <c r="U151" s="10"/>
    </row>
    <row r="152" spans="1:21" ht="12.75">
      <c r="A152" s="6"/>
      <c r="B152" s="6"/>
      <c r="C152" s="6"/>
      <c r="D152" s="6"/>
      <c r="E152" s="6"/>
      <c r="F152" s="6"/>
      <c r="G152" s="14"/>
      <c r="H152" s="9"/>
      <c r="I152" s="9"/>
      <c r="J152" s="9"/>
      <c r="K152" s="9"/>
      <c r="L152" s="9"/>
      <c r="M152" s="9"/>
      <c r="N152" s="9"/>
      <c r="O152" s="9"/>
      <c r="P152" s="9"/>
      <c r="Q152" s="9"/>
      <c r="R152" s="9"/>
      <c r="S152" s="10"/>
      <c r="T152" s="9"/>
      <c r="U152" s="10"/>
    </row>
    <row r="153" spans="1:21" ht="12.75">
      <c r="A153" s="6"/>
      <c r="B153" s="6"/>
      <c r="C153" s="6"/>
      <c r="D153" s="6"/>
      <c r="E153" s="6"/>
      <c r="F153" s="6"/>
      <c r="G153" s="14"/>
      <c r="H153" s="9"/>
      <c r="I153" s="9"/>
      <c r="J153" s="9"/>
      <c r="K153" s="9"/>
      <c r="L153" s="9"/>
      <c r="M153" s="9"/>
      <c r="N153" s="9"/>
      <c r="O153" s="9"/>
      <c r="P153" s="9"/>
      <c r="Q153" s="9"/>
      <c r="R153" s="9"/>
      <c r="S153" s="10"/>
      <c r="T153" s="9"/>
      <c r="U153" s="10"/>
    </row>
    <row r="154" spans="1:21" ht="12.75">
      <c r="A154" s="6"/>
      <c r="B154" s="6"/>
      <c r="C154" s="6"/>
      <c r="D154" s="6"/>
      <c r="E154" s="6"/>
      <c r="F154" s="6"/>
      <c r="G154" s="14"/>
      <c r="H154" s="9"/>
      <c r="I154" s="9"/>
      <c r="J154" s="9"/>
      <c r="K154" s="9"/>
      <c r="L154" s="9"/>
      <c r="M154" s="9"/>
      <c r="N154" s="9"/>
      <c r="O154" s="9"/>
      <c r="P154" s="9"/>
      <c r="Q154" s="9"/>
      <c r="R154" s="9"/>
      <c r="S154" s="10"/>
      <c r="T154" s="9"/>
      <c r="U154" s="10"/>
    </row>
    <row r="155" spans="1:21" ht="12.75">
      <c r="A155" s="6"/>
      <c r="C155" s="6"/>
      <c r="D155" s="6"/>
      <c r="E155" s="6"/>
      <c r="F155" s="6"/>
      <c r="G155" s="14"/>
      <c r="H155" s="9"/>
      <c r="I155" s="9"/>
      <c r="J155" s="9"/>
      <c r="K155" s="9"/>
      <c r="L155" s="9"/>
      <c r="M155" s="9"/>
      <c r="N155" s="9"/>
      <c r="O155" s="9"/>
      <c r="P155" s="9"/>
      <c r="Q155" s="9"/>
      <c r="R155" s="9"/>
      <c r="S155" s="10"/>
      <c r="T155" s="9"/>
      <c r="U155" s="10"/>
    </row>
    <row r="156" spans="1:21" ht="12.75">
      <c r="A156" s="6"/>
      <c r="C156" s="6"/>
      <c r="E156" s="6"/>
      <c r="G156" s="14"/>
      <c r="H156" s="9"/>
      <c r="I156" s="9"/>
      <c r="J156" s="9"/>
      <c r="K156" s="9"/>
      <c r="L156" s="9"/>
      <c r="M156" s="9"/>
      <c r="N156" s="9"/>
      <c r="O156" s="9"/>
      <c r="P156" s="9"/>
      <c r="Q156" s="9"/>
      <c r="R156" s="9"/>
      <c r="S156" s="10"/>
      <c r="T156" s="10"/>
      <c r="U156" s="10"/>
    </row>
    <row r="157" ht="12.75">
      <c r="G157" s="2"/>
    </row>
    <row r="158" ht="12.75">
      <c r="G158" s="2"/>
    </row>
    <row r="159" ht="12.75">
      <c r="G159" s="2"/>
    </row>
    <row r="160" ht="12.75">
      <c r="G160" s="2"/>
    </row>
    <row r="161" ht="12.75">
      <c r="G161" s="2"/>
    </row>
    <row r="162" ht="12.75">
      <c r="G162" s="2"/>
    </row>
    <row r="163" ht="12.75">
      <c r="G163" s="2"/>
    </row>
    <row r="164" ht="12.75">
      <c r="G164" s="2"/>
    </row>
    <row r="165" ht="12.75">
      <c r="G165" s="2"/>
    </row>
    <row r="166" ht="12.75">
      <c r="G166" s="2"/>
    </row>
    <row r="167" ht="12.75">
      <c r="G167" s="2"/>
    </row>
    <row r="168" ht="12.75">
      <c r="G168" s="2"/>
    </row>
    <row r="169" ht="12.75">
      <c r="G169" s="2"/>
    </row>
    <row r="170" ht="12.75">
      <c r="G170" s="2"/>
    </row>
    <row r="171" ht="12.75">
      <c r="G171" s="2"/>
    </row>
    <row r="172" ht="12.75">
      <c r="G172" s="2"/>
    </row>
    <row r="173" ht="12.75">
      <c r="G173" s="2"/>
    </row>
    <row r="174" ht="12.75">
      <c r="G174" s="2"/>
    </row>
    <row r="175" ht="12.75">
      <c r="G175" s="2"/>
    </row>
    <row r="176" ht="12.75">
      <c r="G176" s="2"/>
    </row>
    <row r="177" ht="12.75">
      <c r="G177" s="2"/>
    </row>
    <row r="178" ht="12.75">
      <c r="G178" s="2"/>
    </row>
    <row r="179" ht="12.75">
      <c r="G179" s="2"/>
    </row>
    <row r="180" ht="12.75">
      <c r="G180" s="2"/>
    </row>
    <row r="181" ht="12.75">
      <c r="G181" s="2"/>
    </row>
    <row r="182" ht="12.75">
      <c r="G182" s="2"/>
    </row>
    <row r="183" ht="12.75">
      <c r="G183" s="2"/>
    </row>
    <row r="184" ht="12.75">
      <c r="G184" s="2"/>
    </row>
    <row r="185" ht="12.75">
      <c r="G185" s="2"/>
    </row>
    <row r="186" ht="12.75">
      <c r="G186" s="2"/>
    </row>
    <row r="187" ht="12.75">
      <c r="G187" s="2"/>
    </row>
    <row r="188" spans="2:7" ht="12.75">
      <c r="B188" s="6"/>
      <c r="G188" s="2"/>
    </row>
    <row r="189" spans="2:7" ht="12.75">
      <c r="B189" s="6"/>
      <c r="D189" s="6"/>
      <c r="F189" s="6"/>
      <c r="G189" s="2"/>
    </row>
    <row r="190" spans="1:21" ht="12.75">
      <c r="A190" s="6"/>
      <c r="B190" s="6"/>
      <c r="C190" s="6"/>
      <c r="D190" s="6"/>
      <c r="E190" s="6"/>
      <c r="F190" s="6"/>
      <c r="G190" s="14"/>
      <c r="H190" s="9"/>
      <c r="I190" s="9"/>
      <c r="J190" s="9"/>
      <c r="K190" s="9"/>
      <c r="L190" s="9"/>
      <c r="M190" s="9"/>
      <c r="N190" s="9"/>
      <c r="O190" s="9"/>
      <c r="P190" s="9"/>
      <c r="Q190" s="9"/>
      <c r="R190" s="9"/>
      <c r="S190" s="10"/>
      <c r="T190" s="9"/>
      <c r="U190" s="10"/>
    </row>
    <row r="191" spans="1:21" ht="12.75">
      <c r="A191" s="6"/>
      <c r="B191" s="6"/>
      <c r="C191" s="6"/>
      <c r="D191" s="6"/>
      <c r="E191" s="6"/>
      <c r="F191" s="6"/>
      <c r="G191" s="14"/>
      <c r="H191" s="9"/>
      <c r="I191" s="9"/>
      <c r="J191" s="9"/>
      <c r="K191" s="9"/>
      <c r="L191" s="9"/>
      <c r="M191" s="9"/>
      <c r="N191" s="9"/>
      <c r="O191" s="9"/>
      <c r="P191" s="9"/>
      <c r="Q191" s="9"/>
      <c r="R191" s="9"/>
      <c r="S191" s="10"/>
      <c r="T191" s="9"/>
      <c r="U191" s="10"/>
    </row>
    <row r="192" spans="1:21" ht="12.75">
      <c r="A192" s="6"/>
      <c r="B192" s="6"/>
      <c r="C192" s="6"/>
      <c r="D192" s="6"/>
      <c r="E192" s="6"/>
      <c r="F192" s="6"/>
      <c r="G192" s="14"/>
      <c r="H192" s="9"/>
      <c r="I192" s="9"/>
      <c r="J192" s="9"/>
      <c r="K192" s="9"/>
      <c r="L192" s="9"/>
      <c r="M192" s="9"/>
      <c r="N192" s="9"/>
      <c r="O192" s="9"/>
      <c r="P192" s="9"/>
      <c r="Q192" s="9"/>
      <c r="R192" s="9"/>
      <c r="S192" s="10"/>
      <c r="T192" s="9"/>
      <c r="U192" s="10"/>
    </row>
    <row r="193" spans="1:21" ht="12.75">
      <c r="A193" s="6"/>
      <c r="B193" s="6"/>
      <c r="C193" s="6"/>
      <c r="D193" s="6"/>
      <c r="E193" s="6"/>
      <c r="F193" s="6"/>
      <c r="G193" s="14"/>
      <c r="H193" s="9"/>
      <c r="I193" s="9"/>
      <c r="J193" s="9"/>
      <c r="K193" s="9"/>
      <c r="L193" s="9"/>
      <c r="M193" s="9"/>
      <c r="N193" s="9"/>
      <c r="O193" s="9"/>
      <c r="P193" s="9"/>
      <c r="Q193" s="9"/>
      <c r="R193" s="9"/>
      <c r="S193" s="10"/>
      <c r="T193" s="9"/>
      <c r="U193" s="10"/>
    </row>
    <row r="194" spans="1:21" ht="12.75">
      <c r="A194" s="6"/>
      <c r="B194" s="6"/>
      <c r="C194" s="6"/>
      <c r="D194" s="6"/>
      <c r="E194" s="6"/>
      <c r="F194" s="6"/>
      <c r="G194" s="14"/>
      <c r="H194" s="9"/>
      <c r="I194" s="9"/>
      <c r="J194" s="9"/>
      <c r="K194" s="9"/>
      <c r="L194" s="9"/>
      <c r="M194" s="9"/>
      <c r="N194" s="9"/>
      <c r="O194" s="9"/>
      <c r="P194" s="9"/>
      <c r="Q194" s="9"/>
      <c r="R194" s="9"/>
      <c r="S194" s="10"/>
      <c r="T194" s="9"/>
      <c r="U194" s="10"/>
    </row>
    <row r="195" spans="1:21" ht="12.75">
      <c r="A195" s="6"/>
      <c r="C195" s="6"/>
      <c r="D195" s="6"/>
      <c r="E195" s="6"/>
      <c r="F195" s="6"/>
      <c r="G195" s="14"/>
      <c r="H195" s="9"/>
      <c r="I195" s="9"/>
      <c r="J195" s="9"/>
      <c r="K195" s="9"/>
      <c r="L195" s="9"/>
      <c r="M195" s="9"/>
      <c r="N195" s="9"/>
      <c r="O195" s="9"/>
      <c r="P195" s="9"/>
      <c r="Q195" s="9"/>
      <c r="R195" s="9"/>
      <c r="S195" s="10"/>
      <c r="T195" s="9"/>
      <c r="U195" s="10"/>
    </row>
    <row r="196" spans="1:21" ht="12.75">
      <c r="A196" s="6"/>
      <c r="C196" s="6"/>
      <c r="E196" s="6"/>
      <c r="G196" s="14"/>
      <c r="H196" s="9"/>
      <c r="I196" s="9"/>
      <c r="J196" s="9"/>
      <c r="K196" s="9"/>
      <c r="L196" s="9"/>
      <c r="M196" s="9"/>
      <c r="N196" s="9"/>
      <c r="O196" s="9"/>
      <c r="P196" s="9"/>
      <c r="Q196" s="9"/>
      <c r="R196" s="9"/>
      <c r="S196" s="10"/>
      <c r="T196" s="9"/>
      <c r="U196" s="10"/>
    </row>
  </sheetData>
  <sheetProtection/>
  <conditionalFormatting sqref="E3:E26">
    <cfRule type="cellIs" priority="1" dxfId="1" operator="equal" stopIfTrue="1">
      <formula>$C$37</formula>
    </cfRule>
  </conditionalFormatting>
  <conditionalFormatting sqref="E27:E31">
    <cfRule type="cellIs" priority="2" dxfId="1" operator="equal" stopIfTrue="1">
      <formula>$E$37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U198"/>
  <sheetViews>
    <sheetView zoomScalePageLayoutView="0" workbookViewId="0" topLeftCell="A2">
      <selection activeCell="A2" sqref="A2"/>
    </sheetView>
  </sheetViews>
  <sheetFormatPr defaultColWidth="9.140625" defaultRowHeight="12.75"/>
  <cols>
    <col min="1" max="1" width="5.00390625" style="4" customWidth="1"/>
    <col min="2" max="2" width="11.8515625" style="4" customWidth="1"/>
    <col min="3" max="3" width="3.7109375" style="4" customWidth="1"/>
    <col min="4" max="4" width="4.71093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180</v>
      </c>
      <c r="B1" s="118"/>
      <c r="C1" s="118"/>
      <c r="D1" s="123"/>
      <c r="E1" s="119" t="str">
        <f>ROMAN(Location!$B$6)</f>
        <v>MMIX</v>
      </c>
      <c r="F1" s="118"/>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6" t="str">
        <f>IF(Location!$B$9="No",Februaris!B24,Februaris!B25)</f>
        <v>Sunday</v>
      </c>
      <c r="C3" s="59"/>
      <c r="D3" s="92" t="s">
        <v>61</v>
      </c>
      <c r="E3" s="8" t="s">
        <v>26</v>
      </c>
      <c r="F3" s="6" t="s">
        <v>18</v>
      </c>
      <c r="G3" s="126" t="s">
        <v>273</v>
      </c>
      <c r="H3" s="9">
        <f aca="true" t="shared" si="0" ref="H3:H33">(T3/2)+Q3-"12:00:00"</f>
        <v>12.022961719404865</v>
      </c>
      <c r="I3" s="9">
        <f aca="true" t="shared" si="1" ref="I3:I33">H3+((J3-H3)/2)</f>
        <v>6.152443085923888</v>
      </c>
      <c r="J3" s="9">
        <f aca="true" t="shared" si="2" ref="J3:J33">P3</f>
        <v>0.2819244524429118</v>
      </c>
      <c r="K3" s="9">
        <f aca="true" t="shared" si="3" ref="K3:K33">J3+((L3-J3)/2)</f>
        <v>0.4024430859238879</v>
      </c>
      <c r="L3" s="9">
        <f aca="true" t="shared" si="4" ref="L3:L33">(R3/2)+J3</f>
        <v>0.522961719404864</v>
      </c>
      <c r="M3" s="9">
        <f aca="true" t="shared" si="5" ref="M3:M33">((N3-L3)/2)+L3</f>
        <v>0.6434803528858402</v>
      </c>
      <c r="N3" s="9">
        <f aca="true" t="shared" si="6" ref="N3:N33">Q3</f>
        <v>0.7639989863668163</v>
      </c>
      <c r="O3" s="9">
        <f aca="true" t="shared" si="7" ref="O3:O33">3*U3+N3</f>
        <v>0.8934803528858402</v>
      </c>
      <c r="P3" s="9">
        <f>sunrise(Location!$B$4,Location!$B$5,Location!$B$6,3,A3,Location!$B$7,0)</f>
        <v>0.2819244524429118</v>
      </c>
      <c r="Q3" s="9">
        <f>sunset(Location!$B$4,Location!$B$5,Location!$B$6,3,A3,Location!$B$7,0)</f>
        <v>0.7639989863668163</v>
      </c>
      <c r="R3" s="9">
        <f aca="true" t="shared" si="8" ref="R3:R33">Q3-P3</f>
        <v>0.4820745339239045</v>
      </c>
      <c r="S3" s="10">
        <f aca="true" t="shared" si="9" ref="S3:S33">R3/12</f>
        <v>0.04017287782699204</v>
      </c>
      <c r="T3" s="9">
        <f aca="true" t="shared" si="10" ref="T3:T33">(24-(Q3-P3))</f>
        <v>23.517925466076097</v>
      </c>
      <c r="U3" s="10">
        <f aca="true" t="shared" si="11" ref="U3:U33">"1:00:00"-S3+"1:00:00"</f>
        <v>0.04316045550634129</v>
      </c>
    </row>
    <row r="4" spans="1:21" ht="12.75">
      <c r="A4" s="5">
        <v>2</v>
      </c>
      <c r="B4" s="6" t="str">
        <f>IF(Location!$B$9="No",Februaris!B25,Februaris!B26)</f>
        <v>Monday</v>
      </c>
      <c r="C4" s="59"/>
      <c r="D4" s="7"/>
      <c r="E4" s="8" t="s">
        <v>29</v>
      </c>
      <c r="F4" s="6" t="s">
        <v>90</v>
      </c>
      <c r="G4" s="48" t="s">
        <v>91</v>
      </c>
      <c r="H4" s="9">
        <f t="shared" si="0"/>
        <v>12.022820079292446</v>
      </c>
      <c r="I4" s="9">
        <f t="shared" si="1"/>
        <v>6.151996998627104</v>
      </c>
      <c r="J4" s="9">
        <f t="shared" si="2"/>
        <v>0.2811739179617625</v>
      </c>
      <c r="K4" s="9">
        <f t="shared" si="3"/>
        <v>0.4019969986271046</v>
      </c>
      <c r="L4" s="9">
        <f t="shared" si="4"/>
        <v>0.5228200792924467</v>
      </c>
      <c r="M4" s="9">
        <f t="shared" si="5"/>
        <v>0.6436431599577888</v>
      </c>
      <c r="N4" s="9">
        <f t="shared" si="6"/>
        <v>0.7644662406231308</v>
      </c>
      <c r="O4" s="9">
        <f t="shared" si="7"/>
        <v>0.8936431599577888</v>
      </c>
      <c r="P4" s="9">
        <f>sunrise(Location!$B$4,Location!$B$5,Location!$B$6,3,A4,Location!$B$7,0)</f>
        <v>0.2811739179617625</v>
      </c>
      <c r="Q4" s="9">
        <f>sunset(Location!$B$4,Location!$B$5,Location!$B$6,3,A4,Location!$B$7,0)</f>
        <v>0.7644662406231308</v>
      </c>
      <c r="R4" s="9">
        <f t="shared" si="8"/>
        <v>0.48329232266136835</v>
      </c>
      <c r="S4" s="10">
        <f t="shared" si="9"/>
        <v>0.04027436022178069</v>
      </c>
      <c r="T4" s="9">
        <f t="shared" si="10"/>
        <v>23.51670767733863</v>
      </c>
      <c r="U4" s="10">
        <f t="shared" si="11"/>
        <v>0.043058973111552636</v>
      </c>
    </row>
    <row r="5" spans="1:21" ht="12.75">
      <c r="A5" s="5">
        <v>3</v>
      </c>
      <c r="B5" s="6" t="str">
        <f>IF(Location!$B$9="No",Februaris!B26,Februaris!B27)</f>
        <v>Tuesday</v>
      </c>
      <c r="C5" s="59"/>
      <c r="D5" s="7"/>
      <c r="E5" s="8" t="s">
        <v>32</v>
      </c>
      <c r="F5" s="6" t="s">
        <v>92</v>
      </c>
      <c r="G5" s="83"/>
      <c r="H5" s="9">
        <f t="shared" si="0"/>
        <v>12.022672911867991</v>
      </c>
      <c r="I5" s="9">
        <f t="shared" si="1"/>
        <v>6.151544556163093</v>
      </c>
      <c r="J5" s="9">
        <f t="shared" si="2"/>
        <v>0.28041620045819526</v>
      </c>
      <c r="K5" s="9">
        <f t="shared" si="3"/>
        <v>0.4015445561630934</v>
      </c>
      <c r="L5" s="9">
        <f t="shared" si="4"/>
        <v>0.5226729118679916</v>
      </c>
      <c r="M5" s="9">
        <f t="shared" si="5"/>
        <v>0.6438012675728897</v>
      </c>
      <c r="N5" s="9">
        <f t="shared" si="6"/>
        <v>0.7649296232777879</v>
      </c>
      <c r="O5" s="9">
        <f t="shared" si="7"/>
        <v>0.8938012675728897</v>
      </c>
      <c r="P5" s="9">
        <f>sunrise(Location!$B$4,Location!$B$5,Location!$B$6,3,A5,Location!$B$7,0)</f>
        <v>0.28041620045819526</v>
      </c>
      <c r="Q5" s="9">
        <f>sunset(Location!$B$4,Location!$B$5,Location!$B$6,3,A5,Location!$B$7,0)</f>
        <v>0.7649296232777879</v>
      </c>
      <c r="R5" s="9">
        <f t="shared" si="8"/>
        <v>0.48451342281959264</v>
      </c>
      <c r="S5" s="10">
        <f t="shared" si="9"/>
        <v>0.04037611856829939</v>
      </c>
      <c r="T5" s="9">
        <f t="shared" si="10"/>
        <v>23.515486577180408</v>
      </c>
      <c r="U5" s="10">
        <f t="shared" si="11"/>
        <v>0.04295721476503394</v>
      </c>
    </row>
    <row r="6" spans="1:21" ht="12.75">
      <c r="A6" s="5">
        <v>4</v>
      </c>
      <c r="B6" s="6" t="str">
        <f>IF(Location!$B$9="No",Februaris!B27,Februaris!B28)</f>
        <v>Wednesday</v>
      </c>
      <c r="C6" s="59"/>
      <c r="D6" s="92" t="s">
        <v>64</v>
      </c>
      <c r="E6" s="8" t="s">
        <v>36</v>
      </c>
      <c r="F6" s="6" t="s">
        <v>93</v>
      </c>
      <c r="G6" s="83"/>
      <c r="H6" s="9">
        <f t="shared" si="0"/>
        <v>12.022520442462454</v>
      </c>
      <c r="I6" s="9">
        <f t="shared" si="1"/>
        <v>6.151086042937371</v>
      </c>
      <c r="J6" s="9">
        <f t="shared" si="2"/>
        <v>0.279651643412289</v>
      </c>
      <c r="K6" s="9">
        <f t="shared" si="3"/>
        <v>0.40108604293737204</v>
      </c>
      <c r="L6" s="9">
        <f t="shared" si="4"/>
        <v>0.5225204424624551</v>
      </c>
      <c r="M6" s="9">
        <f t="shared" si="5"/>
        <v>0.6439548419875382</v>
      </c>
      <c r="N6" s="9">
        <f t="shared" si="6"/>
        <v>0.7653892415126212</v>
      </c>
      <c r="O6" s="9">
        <f t="shared" si="7"/>
        <v>0.8939548419875382</v>
      </c>
      <c r="P6" s="9">
        <f>sunrise(Location!$B$4,Location!$B$5,Location!$B$6,3,A6,Location!$B$7,0)</f>
        <v>0.279651643412289</v>
      </c>
      <c r="Q6" s="9">
        <f>sunset(Location!$B$4,Location!$B$5,Location!$B$6,3,A6,Location!$B$7,0)</f>
        <v>0.7653892415126212</v>
      </c>
      <c r="R6" s="9">
        <f t="shared" si="8"/>
        <v>0.48573759810033224</v>
      </c>
      <c r="S6" s="10">
        <f t="shared" si="9"/>
        <v>0.040478133175027686</v>
      </c>
      <c r="T6" s="9">
        <f t="shared" si="10"/>
        <v>23.514262401899668</v>
      </c>
      <c r="U6" s="10">
        <f t="shared" si="11"/>
        <v>0.04285520015830564</v>
      </c>
    </row>
    <row r="7" spans="1:21" ht="12.75">
      <c r="A7" s="5">
        <v>5</v>
      </c>
      <c r="B7" s="6" t="str">
        <f>IF(Location!$B$9="No",Februaris!B28,Februaris!B29)</f>
        <v>Thursday</v>
      </c>
      <c r="C7" s="59"/>
      <c r="D7" s="92" t="s">
        <v>67</v>
      </c>
      <c r="E7" s="8" t="s">
        <v>17</v>
      </c>
      <c r="F7" s="6" t="s">
        <v>94</v>
      </c>
      <c r="G7" s="83"/>
      <c r="H7" s="9">
        <f t="shared" si="0"/>
        <v>12.022362898771636</v>
      </c>
      <c r="I7" s="9">
        <f t="shared" si="1"/>
        <v>6.150621744259385</v>
      </c>
      <c r="J7" s="9">
        <f t="shared" si="2"/>
        <v>0.2788805897471335</v>
      </c>
      <c r="K7" s="9">
        <f t="shared" si="3"/>
        <v>0.4006217442593844</v>
      </c>
      <c r="L7" s="9">
        <f t="shared" si="4"/>
        <v>0.5223628987716353</v>
      </c>
      <c r="M7" s="9">
        <f t="shared" si="5"/>
        <v>0.6441040532838863</v>
      </c>
      <c r="N7" s="9">
        <f t="shared" si="6"/>
        <v>0.7658452077961373</v>
      </c>
      <c r="O7" s="9">
        <f t="shared" si="7"/>
        <v>0.8941040532838863</v>
      </c>
      <c r="P7" s="9">
        <f>sunrise(Location!$B$4,Location!$B$5,Location!$B$6,3,A7,Location!$B$7,0)</f>
        <v>0.2788805897471335</v>
      </c>
      <c r="Q7" s="9">
        <f>sunset(Location!$B$4,Location!$B$5,Location!$B$6,3,A7,Location!$B$7,0)</f>
        <v>0.7658452077961373</v>
      </c>
      <c r="R7" s="9">
        <f t="shared" si="8"/>
        <v>0.4869646180490038</v>
      </c>
      <c r="S7" s="10">
        <f t="shared" si="9"/>
        <v>0.04058038483741699</v>
      </c>
      <c r="T7" s="9">
        <f t="shared" si="10"/>
        <v>23.513035381950996</v>
      </c>
      <c r="U7" s="10">
        <f t="shared" si="11"/>
        <v>0.04275294849591634</v>
      </c>
    </row>
    <row r="8" spans="1:21" ht="12.75">
      <c r="A8" s="5">
        <v>6</v>
      </c>
      <c r="B8" s="6" t="str">
        <f>IF(Location!$B$9="No",Februaris!B29,Februaris!B30)</f>
        <v>Friday</v>
      </c>
      <c r="C8" s="59"/>
      <c r="D8" s="62" t="s">
        <v>69</v>
      </c>
      <c r="E8" s="8" t="s">
        <v>21</v>
      </c>
      <c r="F8" s="6" t="s">
        <v>27</v>
      </c>
      <c r="G8" s="83"/>
      <c r="H8" s="9">
        <f t="shared" si="0"/>
        <v>12.022200510586694</v>
      </c>
      <c r="I8" s="9">
        <f t="shared" si="1"/>
        <v>6.1501519461481164</v>
      </c>
      <c r="J8" s="9">
        <f t="shared" si="2"/>
        <v>0.2781033817095384</v>
      </c>
      <c r="K8" s="9">
        <f t="shared" si="3"/>
        <v>0.40015194614811667</v>
      </c>
      <c r="L8" s="9">
        <f t="shared" si="4"/>
        <v>0.5222005105866949</v>
      </c>
      <c r="M8" s="9">
        <f t="shared" si="5"/>
        <v>0.6442490750252732</v>
      </c>
      <c r="N8" s="9">
        <f t="shared" si="6"/>
        <v>0.7662976394638513</v>
      </c>
      <c r="O8" s="9">
        <f t="shared" si="7"/>
        <v>0.8942490750252731</v>
      </c>
      <c r="P8" s="9">
        <f>sunrise(Location!$B$4,Location!$B$5,Location!$B$6,3,A8,Location!$B$7,0)</f>
        <v>0.2781033817095384</v>
      </c>
      <c r="Q8" s="9">
        <f>sunset(Location!$B$4,Location!$B$5,Location!$B$6,3,A8,Location!$B$7,0)</f>
        <v>0.7662976394638513</v>
      </c>
      <c r="R8" s="9">
        <f t="shared" si="8"/>
        <v>0.4881942577543129</v>
      </c>
      <c r="S8" s="10">
        <f t="shared" si="9"/>
        <v>0.04068285481285941</v>
      </c>
      <c r="T8" s="9">
        <f t="shared" si="10"/>
        <v>23.511805742245688</v>
      </c>
      <c r="U8" s="10">
        <f t="shared" si="11"/>
        <v>0.04265047852047392</v>
      </c>
    </row>
    <row r="9" spans="1:21" ht="12.75">
      <c r="A9" s="5">
        <v>7</v>
      </c>
      <c r="B9" s="6" t="str">
        <f>IF(Location!$B$9="No",Februaris!B30,Februaris!B31)</f>
        <v>Saturday</v>
      </c>
      <c r="C9" s="59"/>
      <c r="D9" s="62"/>
      <c r="E9" s="8" t="s">
        <v>24</v>
      </c>
      <c r="F9" s="6" t="s">
        <v>30</v>
      </c>
      <c r="G9" s="83"/>
      <c r="H9" s="9">
        <f t="shared" si="0"/>
        <v>12.022033509533157</v>
      </c>
      <c r="I9" s="9">
        <f t="shared" si="1"/>
        <v>6.149676935147488</v>
      </c>
      <c r="J9" s="9">
        <f t="shared" si="2"/>
        <v>0.2773203607618173</v>
      </c>
      <c r="K9" s="9">
        <f t="shared" si="3"/>
        <v>0.3996769351474872</v>
      </c>
      <c r="L9" s="9">
        <f t="shared" si="4"/>
        <v>0.5220335095331571</v>
      </c>
      <c r="M9" s="9">
        <f t="shared" si="5"/>
        <v>0.644390083918827</v>
      </c>
      <c r="N9" s="9">
        <f t="shared" si="6"/>
        <v>0.7667466583044968</v>
      </c>
      <c r="O9" s="9">
        <f t="shared" si="7"/>
        <v>0.894390083918827</v>
      </c>
      <c r="P9" s="9">
        <f>sunrise(Location!$B$4,Location!$B$5,Location!$B$6,3,A9,Location!$B$7,0)</f>
        <v>0.2773203607618173</v>
      </c>
      <c r="Q9" s="9">
        <f>sunset(Location!$B$4,Location!$B$5,Location!$B$6,3,A9,Location!$B$7,0)</f>
        <v>0.7667466583044968</v>
      </c>
      <c r="R9" s="9">
        <f t="shared" si="8"/>
        <v>0.4894262975426795</v>
      </c>
      <c r="S9" s="10">
        <f t="shared" si="9"/>
        <v>0.040785524795223294</v>
      </c>
      <c r="T9" s="9">
        <f t="shared" si="10"/>
        <v>23.51057370245732</v>
      </c>
      <c r="U9" s="10">
        <f t="shared" si="11"/>
        <v>0.042547808538110035</v>
      </c>
    </row>
    <row r="10" spans="1:21" ht="12.75">
      <c r="A10" s="5">
        <v>8</v>
      </c>
      <c r="B10" s="6" t="str">
        <f aca="true" t="shared" si="12" ref="B10:B16">B3</f>
        <v>Sunday</v>
      </c>
      <c r="C10" s="59"/>
      <c r="D10" s="25" t="s">
        <v>72</v>
      </c>
      <c r="E10" s="8" t="s">
        <v>26</v>
      </c>
      <c r="F10" s="6" t="s">
        <v>95</v>
      </c>
      <c r="G10" s="126" t="s">
        <v>274</v>
      </c>
      <c r="H10" s="9">
        <f t="shared" si="0"/>
        <v>12.06352879548831</v>
      </c>
      <c r="I10" s="9">
        <f t="shared" si="1"/>
        <v>6.190863664821888</v>
      </c>
      <c r="J10" s="9">
        <f t="shared" si="2"/>
        <v>0.3181985341554663</v>
      </c>
      <c r="K10" s="9">
        <f t="shared" si="3"/>
        <v>0.4408636648218883</v>
      </c>
      <c r="L10" s="9">
        <f t="shared" si="4"/>
        <v>0.5635287954883104</v>
      </c>
      <c r="M10" s="9">
        <f t="shared" si="5"/>
        <v>0.6861939261547323</v>
      </c>
      <c r="N10" s="9">
        <f t="shared" si="6"/>
        <v>0.8088590568211543</v>
      </c>
      <c r="O10" s="9">
        <f t="shared" si="7"/>
        <v>0.9361939261547323</v>
      </c>
      <c r="P10" s="9">
        <f>sunrise(Location!$B$4,Location!$B$5,Location!$B$6,3,A10,Location!$B$7,IF(Location!$B$8="No",0,IF(B10="Sunday",1,0)))</f>
        <v>0.3181985341554663</v>
      </c>
      <c r="Q10" s="9">
        <f>sunset(Location!$B$4,Location!$B$5,Location!$B$6,3,A10,Location!$B$7,IF(Location!$B$8="No",0,IF(B10="Sunday",1,0)))</f>
        <v>0.8088590568211543</v>
      </c>
      <c r="R10" s="9">
        <f t="shared" si="8"/>
        <v>0.49066052266568805</v>
      </c>
      <c r="S10" s="10">
        <f t="shared" si="9"/>
        <v>0.04088837688880734</v>
      </c>
      <c r="T10" s="9">
        <f t="shared" si="10"/>
        <v>23.50933947733431</v>
      </c>
      <c r="U10" s="10">
        <f t="shared" si="11"/>
        <v>0.04244495644452599</v>
      </c>
    </row>
    <row r="11" spans="1:21" ht="12.75">
      <c r="A11" s="5">
        <v>9</v>
      </c>
      <c r="B11" s="6" t="str">
        <f t="shared" si="12"/>
        <v>Monday</v>
      </c>
      <c r="C11" s="59"/>
      <c r="D11" s="25" t="s">
        <v>75</v>
      </c>
      <c r="E11" s="8" t="s">
        <v>29</v>
      </c>
      <c r="F11" s="6" t="s">
        <v>96</v>
      </c>
      <c r="G11" s="83"/>
      <c r="H11" s="9">
        <f t="shared" si="0"/>
        <v>12.06335326967404</v>
      </c>
      <c r="I11" s="9">
        <f t="shared" si="1"/>
        <v>6.1903790889266235</v>
      </c>
      <c r="J11" s="9">
        <f t="shared" si="2"/>
        <v>0.3174049081792065</v>
      </c>
      <c r="K11" s="9">
        <f t="shared" si="3"/>
        <v>0.44037908892662314</v>
      </c>
      <c r="L11" s="9">
        <f t="shared" si="4"/>
        <v>0.5633532696740398</v>
      </c>
      <c r="M11" s="9">
        <f t="shared" si="5"/>
        <v>0.6863274504214563</v>
      </c>
      <c r="N11" s="9">
        <f t="shared" si="6"/>
        <v>0.8093016311688729</v>
      </c>
      <c r="O11" s="9">
        <f t="shared" si="7"/>
        <v>0.9363274504214563</v>
      </c>
      <c r="P11" s="9">
        <f>sunrise(Location!$B$4,Location!$B$5,Location!$B$6,3,A11,Location!$B$7,IF(Location!$B$8="No",0,IF(OR(B11="Sunday",B11="Monday"),1,0)))</f>
        <v>0.3174049081792065</v>
      </c>
      <c r="Q11" s="9">
        <f>sunset(Location!$B$4,Location!$B$5,Location!$B$6,3,A11,Location!$B$7,IF(Location!$B$8="No",0,IF(OR(B11="Sunday",B11="Monday"),1,0)))</f>
        <v>0.8093016311688729</v>
      </c>
      <c r="R11" s="9">
        <f t="shared" si="8"/>
        <v>0.49189672298966636</v>
      </c>
      <c r="S11" s="10">
        <f t="shared" si="9"/>
        <v>0.040991393582472196</v>
      </c>
      <c r="T11" s="9">
        <f t="shared" si="10"/>
        <v>23.508103277010335</v>
      </c>
      <c r="U11" s="10">
        <f t="shared" si="11"/>
        <v>0.04234193975086113</v>
      </c>
    </row>
    <row r="12" spans="1:21" ht="12.75">
      <c r="A12" s="5">
        <v>10</v>
      </c>
      <c r="B12" s="6" t="str">
        <f t="shared" si="12"/>
        <v>Tuesday</v>
      </c>
      <c r="C12" s="59"/>
      <c r="D12" s="25"/>
      <c r="E12" s="8" t="s">
        <v>32</v>
      </c>
      <c r="F12" s="6" t="s">
        <v>97</v>
      </c>
      <c r="G12" s="83"/>
      <c r="H12" s="9">
        <f t="shared" si="0"/>
        <v>12.063173834427143</v>
      </c>
      <c r="I12" s="9">
        <f t="shared" si="1"/>
        <v>6.189890161257563</v>
      </c>
      <c r="J12" s="9">
        <f t="shared" si="2"/>
        <v>0.3166064880879833</v>
      </c>
      <c r="K12" s="9">
        <f t="shared" si="3"/>
        <v>0.43989016125756414</v>
      </c>
      <c r="L12" s="9">
        <f t="shared" si="4"/>
        <v>0.563173834427145</v>
      </c>
      <c r="M12" s="9">
        <f t="shared" si="5"/>
        <v>0.6864575075967259</v>
      </c>
      <c r="N12" s="9">
        <f t="shared" si="6"/>
        <v>0.8097411807663066</v>
      </c>
      <c r="O12" s="9">
        <f t="shared" si="7"/>
        <v>0.9364575075967257</v>
      </c>
      <c r="P12" s="9">
        <f>sunrise(Location!$B$4,Location!$B$5,Location!$B$6,3,A12,Location!$B$7,IF(Location!$B$8="No",0,IF(OR(B12="Sunday",B12="Monday",B12="Tuesday"),1,0)))</f>
        <v>0.3166064880879833</v>
      </c>
      <c r="Q12" s="9">
        <f>sunset(Location!$B$4,Location!$B$5,Location!$B$6,3,A12,Location!$B$7,IF(Location!$B$8="No",0,IF(OR(B12="Sunday",B12="Monday",B12="Tuesday"),1,0)))</f>
        <v>0.8097411807663066</v>
      </c>
      <c r="R12" s="9">
        <f t="shared" si="8"/>
        <v>0.4931346926783233</v>
      </c>
      <c r="S12" s="10">
        <f t="shared" si="9"/>
        <v>0.04109455772319361</v>
      </c>
      <c r="T12" s="9">
        <f t="shared" si="10"/>
        <v>23.506865307321675</v>
      </c>
      <c r="U12" s="10">
        <f t="shared" si="11"/>
        <v>0.042238775610139716</v>
      </c>
    </row>
    <row r="13" spans="1:21" ht="12.75">
      <c r="A13" s="5">
        <v>11</v>
      </c>
      <c r="B13" s="6" t="str">
        <f t="shared" si="12"/>
        <v>Wednesday</v>
      </c>
      <c r="C13" s="59"/>
      <c r="D13" s="25" t="s">
        <v>20</v>
      </c>
      <c r="E13" s="8" t="s">
        <v>36</v>
      </c>
      <c r="F13" s="6" t="s">
        <v>98</v>
      </c>
      <c r="G13" s="83"/>
      <c r="H13" s="9">
        <f t="shared" si="0"/>
        <v>12.062990726311593</v>
      </c>
      <c r="I13" s="9">
        <f t="shared" si="1"/>
        <v>6.189397168843047</v>
      </c>
      <c r="J13" s="9">
        <f t="shared" si="2"/>
        <v>0.31580361137450064</v>
      </c>
      <c r="K13" s="9">
        <f t="shared" si="3"/>
        <v>0.4393971688430471</v>
      </c>
      <c r="L13" s="9">
        <f t="shared" si="4"/>
        <v>0.5629907263115935</v>
      </c>
      <c r="M13" s="9">
        <f t="shared" si="5"/>
        <v>0.6865842837801399</v>
      </c>
      <c r="N13" s="9">
        <f t="shared" si="6"/>
        <v>0.8101778412486864</v>
      </c>
      <c r="O13" s="9">
        <f t="shared" si="7"/>
        <v>0.9365842837801399</v>
      </c>
      <c r="P13" s="9">
        <f>sunrise(Location!$B$4,Location!$B$5,Location!$B$6,3,A13,Location!$B$7,IF(Location!$B$8="No",0,IF(OR(B13="Sunday",B13="Monday",B13="Tuesday",B13="Wednesday"),1,0)))</f>
        <v>0.31580361137450064</v>
      </c>
      <c r="Q13" s="9">
        <f>sunset(Location!$B$4,Location!$B$5,Location!$B$6,3,A13,Location!$B$7,IF(Location!$B$8="No",0,IF(OR(B13="Sunday",B13="Monday",B13="Tuesday",B13="Wednesday"),1,0)))</f>
        <v>0.8101778412486864</v>
      </c>
      <c r="R13" s="9">
        <f t="shared" si="8"/>
        <v>0.4943742298741858</v>
      </c>
      <c r="S13" s="10">
        <f t="shared" si="9"/>
        <v>0.041197852489515484</v>
      </c>
      <c r="T13" s="9">
        <f t="shared" si="10"/>
        <v>23.505625770125814</v>
      </c>
      <c r="U13" s="10">
        <f t="shared" si="11"/>
        <v>0.042135480843817845</v>
      </c>
    </row>
    <row r="14" spans="1:21" ht="12.75">
      <c r="A14" s="5">
        <v>12</v>
      </c>
      <c r="B14" s="6" t="str">
        <f t="shared" si="12"/>
        <v>Thursday</v>
      </c>
      <c r="C14" s="59"/>
      <c r="D14" s="25"/>
      <c r="E14" s="8" t="s">
        <v>17</v>
      </c>
      <c r="F14" s="6" t="s">
        <v>99</v>
      </c>
      <c r="G14" s="48" t="s">
        <v>100</v>
      </c>
      <c r="H14" s="9">
        <f t="shared" si="0"/>
        <v>12.062804182576048</v>
      </c>
      <c r="I14" s="9">
        <f t="shared" si="1"/>
        <v>6.188900398481138</v>
      </c>
      <c r="J14" s="9">
        <f t="shared" si="2"/>
        <v>0.31499661438622883</v>
      </c>
      <c r="K14" s="9">
        <f t="shared" si="3"/>
        <v>0.4389003984811388</v>
      </c>
      <c r="L14" s="9">
        <f t="shared" si="4"/>
        <v>0.5628041825760488</v>
      </c>
      <c r="M14" s="9">
        <f t="shared" si="5"/>
        <v>0.6867079666709588</v>
      </c>
      <c r="N14" s="9">
        <f t="shared" si="6"/>
        <v>0.8106117507658689</v>
      </c>
      <c r="O14" s="9">
        <f t="shared" si="7"/>
        <v>0.9367079666709588</v>
      </c>
      <c r="P14" s="9">
        <f>sunrise(Location!$B$4,Location!$B$5,Location!$B$6,3,A14,Location!$B$7,IF(Location!$B$8="No",0,IF(OR(B14="Sunday",B14="Monday",B14="Tuesday",B14="Wednesday",B14="Thursday"),1,0)))</f>
        <v>0.31499661438622883</v>
      </c>
      <c r="Q14" s="9">
        <f>sunset(Location!$B$4,Location!$B$5,Location!$B$6,3,A14,Location!$B$7,IF(Location!$B$8="No",0,IF(OR(B14="Sunday",B14="Monday",B14="Tuesday",B14="Wednesday",B14="Thursday"),1,0)))</f>
        <v>0.8106117507658689</v>
      </c>
      <c r="R14" s="9">
        <f t="shared" si="8"/>
        <v>0.49561513637964005</v>
      </c>
      <c r="S14" s="10">
        <f t="shared" si="9"/>
        <v>0.041301261364970004</v>
      </c>
      <c r="T14" s="9">
        <f t="shared" si="10"/>
        <v>23.50438486362036</v>
      </c>
      <c r="U14" s="10">
        <f t="shared" si="11"/>
        <v>0.042032071968363324</v>
      </c>
    </row>
    <row r="15" spans="1:21" ht="12.75">
      <c r="A15" s="5">
        <v>13</v>
      </c>
      <c r="B15" s="6" t="str">
        <f t="shared" si="12"/>
        <v>Friday</v>
      </c>
      <c r="C15" s="59"/>
      <c r="D15" s="25" t="s">
        <v>23</v>
      </c>
      <c r="E15" s="8" t="s">
        <v>21</v>
      </c>
      <c r="F15" s="6" t="s">
        <v>101</v>
      </c>
      <c r="G15" s="83"/>
      <c r="H15" s="9">
        <f t="shared" si="0"/>
        <v>12.062614440952474</v>
      </c>
      <c r="I15" s="9">
        <f t="shared" si="1"/>
        <v>6.188400136619236</v>
      </c>
      <c r="J15" s="9">
        <f t="shared" si="2"/>
        <v>0.3141858322859967</v>
      </c>
      <c r="K15" s="9">
        <f t="shared" si="3"/>
        <v>0.43840013661923577</v>
      </c>
      <c r="L15" s="9">
        <f t="shared" si="4"/>
        <v>0.5626144409524748</v>
      </c>
      <c r="M15" s="9">
        <f t="shared" si="5"/>
        <v>0.6868287452857138</v>
      </c>
      <c r="N15" s="9">
        <f t="shared" si="6"/>
        <v>0.8110430496189529</v>
      </c>
      <c r="O15" s="9">
        <f t="shared" si="7"/>
        <v>0.9368287452857138</v>
      </c>
      <c r="P15" s="9">
        <f>sunrise(Location!$B$4,Location!$B$5,Location!$B$6,3,A15,Location!$B$7,IF(Location!$B$8="No",0,IF(OR(B15="Sunday",B15="Monday",B15="Tuesday",B15="Wednesday",B15="Thursday",B15="Friday"),1,0)))</f>
        <v>0.3141858322859967</v>
      </c>
      <c r="Q15" s="9">
        <f>sunset(Location!$B$4,Location!$B$5,Location!$B$6,3,A15,Location!$B$7,IF(Location!$B$8="No",0,IF(OR(B15="Sunday",B15="Monday",B15="Tuesday",B15="Wednesday",B15="Thursday",B15="Friday"),1,0)))</f>
        <v>0.8110430496189529</v>
      </c>
      <c r="R15" s="9">
        <f t="shared" si="8"/>
        <v>0.4968572173329562</v>
      </c>
      <c r="S15" s="10">
        <f t="shared" si="9"/>
        <v>0.04140476811107968</v>
      </c>
      <c r="T15" s="9">
        <f t="shared" si="10"/>
        <v>23.503142782667044</v>
      </c>
      <c r="U15" s="10">
        <f t="shared" si="11"/>
        <v>0.04192856522225365</v>
      </c>
    </row>
    <row r="16" spans="1:21" ht="12.75">
      <c r="A16" s="5">
        <v>14</v>
      </c>
      <c r="B16" s="6" t="str">
        <f t="shared" si="12"/>
        <v>Saturday</v>
      </c>
      <c r="C16" s="59"/>
      <c r="D16" s="25" t="s">
        <v>28</v>
      </c>
      <c r="E16" s="8" t="s">
        <v>24</v>
      </c>
      <c r="F16" s="6" t="s">
        <v>46</v>
      </c>
      <c r="G16" s="83"/>
      <c r="H16" s="9">
        <f t="shared" si="0"/>
        <v>12.041588406130545</v>
      </c>
      <c r="I16" s="9">
        <f t="shared" si="1"/>
        <v>6.177480002574556</v>
      </c>
      <c r="J16" s="9">
        <f t="shared" si="2"/>
        <v>0.3133715990185669</v>
      </c>
      <c r="K16" s="9">
        <f t="shared" si="3"/>
        <v>0.4274800025745562</v>
      </c>
      <c r="L16" s="9">
        <f t="shared" si="4"/>
        <v>0.5415884061305455</v>
      </c>
      <c r="M16" s="9">
        <f t="shared" si="5"/>
        <v>0.6556968096865348</v>
      </c>
      <c r="N16" s="9">
        <f t="shared" si="6"/>
        <v>0.769805213242524</v>
      </c>
      <c r="O16" s="9">
        <f t="shared" si="7"/>
        <v>0.9056968096865348</v>
      </c>
      <c r="P16" s="9">
        <f>sunrise(Location!$B$4,Location!$B$5,Location!$B$6,3,A16,Location!$B$7,IF(Location!$B$8="No",0,1))</f>
        <v>0.3133715990185669</v>
      </c>
      <c r="Q16" s="9">
        <f>sunset(Location!$B$4,Location!$B$5,Location!$B$6,3,A16,Location!$B$7,IF(Location!$B$8="No",1))</f>
        <v>0.769805213242524</v>
      </c>
      <c r="R16" s="9">
        <f t="shared" si="8"/>
        <v>0.4564336142239571</v>
      </c>
      <c r="S16" s="10">
        <f t="shared" si="9"/>
        <v>0.03803613451866309</v>
      </c>
      <c r="T16" s="9">
        <f t="shared" si="10"/>
        <v>23.543566385776042</v>
      </c>
      <c r="U16" s="10">
        <f t="shared" si="11"/>
        <v>0.04529719881467024</v>
      </c>
    </row>
    <row r="17" spans="1:21" ht="12.75">
      <c r="A17" s="5">
        <v>15</v>
      </c>
      <c r="B17" s="51" t="str">
        <f aca="true" t="shared" si="13" ref="B17:B23">B3</f>
        <v>Sunday</v>
      </c>
      <c r="C17" s="59"/>
      <c r="D17" s="25"/>
      <c r="E17" s="8" t="s">
        <v>26</v>
      </c>
      <c r="F17" s="6" t="s">
        <v>47</v>
      </c>
      <c r="G17" s="126" t="s">
        <v>275</v>
      </c>
      <c r="H17" s="9">
        <f t="shared" si="0"/>
        <v>12.062226316243237</v>
      </c>
      <c r="I17" s="9">
        <f t="shared" si="1"/>
        <v>6.187390281768455</v>
      </c>
      <c r="J17" s="9">
        <f t="shared" si="2"/>
        <v>0.31255424729367465</v>
      </c>
      <c r="K17" s="9">
        <f t="shared" si="3"/>
        <v>0.43739028176845557</v>
      </c>
      <c r="L17" s="9">
        <f t="shared" si="4"/>
        <v>0.5622263162432365</v>
      </c>
      <c r="M17" s="9">
        <f t="shared" si="5"/>
        <v>0.6870623507180174</v>
      </c>
      <c r="N17" s="9">
        <f t="shared" si="6"/>
        <v>0.8118983851927983</v>
      </c>
      <c r="O17" s="9">
        <f t="shared" si="7"/>
        <v>0.9370623507180174</v>
      </c>
      <c r="P17" s="9">
        <f>sunrise(Location!$B$4,Location!$B$5,Location!$B$6,3,A17,Location!$B$7,IF(Location!$B$8="No",0,1))</f>
        <v>0.31255424729367465</v>
      </c>
      <c r="Q17" s="9">
        <f>sunset(Location!$B$4,Location!$B$5,Location!$B$6,3,A17,Location!$B$7,IF(Location!$B$8="No",0,1))</f>
        <v>0.8118983851927983</v>
      </c>
      <c r="R17" s="9">
        <f t="shared" si="8"/>
        <v>0.4993441378991237</v>
      </c>
      <c r="S17" s="10">
        <f t="shared" si="9"/>
        <v>0.04161201149159364</v>
      </c>
      <c r="T17" s="9">
        <f t="shared" si="10"/>
        <v>23.500655862100878</v>
      </c>
      <c r="U17" s="10">
        <f t="shared" si="11"/>
        <v>0.04172132184173969</v>
      </c>
    </row>
    <row r="18" spans="1:21" ht="12.75">
      <c r="A18" s="5">
        <v>16</v>
      </c>
      <c r="B18" s="6" t="str">
        <f t="shared" si="13"/>
        <v>Monday</v>
      </c>
      <c r="C18" s="59"/>
      <c r="D18" s="25" t="s">
        <v>35</v>
      </c>
      <c r="E18" s="8" t="s">
        <v>29</v>
      </c>
      <c r="F18" s="6" t="s">
        <v>102</v>
      </c>
      <c r="G18" s="83"/>
      <c r="H18" s="9">
        <f t="shared" si="0"/>
        <v>12.06202840935876</v>
      </c>
      <c r="I18" s="9">
        <f t="shared" si="1"/>
        <v>6.186881258964694</v>
      </c>
      <c r="J18" s="9">
        <f t="shared" si="2"/>
        <v>0.3117341085706279</v>
      </c>
      <c r="K18" s="9">
        <f t="shared" si="3"/>
        <v>0.43688125896469415</v>
      </c>
      <c r="L18" s="9">
        <f t="shared" si="4"/>
        <v>0.5620284093587604</v>
      </c>
      <c r="M18" s="9">
        <f t="shared" si="5"/>
        <v>0.6871755597528267</v>
      </c>
      <c r="N18" s="9">
        <f t="shared" si="6"/>
        <v>0.8123227101468931</v>
      </c>
      <c r="O18" s="9">
        <f t="shared" si="7"/>
        <v>0.9371755597528267</v>
      </c>
      <c r="P18" s="9">
        <f>sunrise(Location!$B$4,Location!$B$5,Location!$B$6,3,A18,Location!$B$7,IF(Location!$B$8="No",0,1))</f>
        <v>0.3117341085706279</v>
      </c>
      <c r="Q18" s="9">
        <f>sunset(Location!$B$4,Location!$B$5,Location!$B$6,3,A18,Location!$B$7,IF(Location!$B$8="No",0,1))</f>
        <v>0.8123227101468931</v>
      </c>
      <c r="R18" s="9">
        <f t="shared" si="8"/>
        <v>0.5005886015762652</v>
      </c>
      <c r="S18" s="10">
        <f t="shared" si="9"/>
        <v>0.0417157167980221</v>
      </c>
      <c r="T18" s="9">
        <f t="shared" si="10"/>
        <v>23.499411398423735</v>
      </c>
      <c r="U18" s="10">
        <f t="shared" si="11"/>
        <v>0.04161761653531123</v>
      </c>
    </row>
    <row r="19" spans="1:21" ht="12.75">
      <c r="A19" s="5">
        <v>17</v>
      </c>
      <c r="B19" s="6" t="str">
        <f t="shared" si="13"/>
        <v>Tuesday</v>
      </c>
      <c r="C19" s="59"/>
      <c r="D19" s="25" t="s">
        <v>38</v>
      </c>
      <c r="E19" s="8" t="s">
        <v>32</v>
      </c>
      <c r="F19" s="6" t="s">
        <v>103</v>
      </c>
      <c r="G19" s="48" t="s">
        <v>104</v>
      </c>
      <c r="H19" s="9">
        <f t="shared" si="0"/>
        <v>12.06182825664819</v>
      </c>
      <c r="I19" s="9">
        <f t="shared" si="1"/>
        <v>6.1863698848519135</v>
      </c>
      <c r="J19" s="9">
        <f t="shared" si="2"/>
        <v>0.310911513055638</v>
      </c>
      <c r="K19" s="9">
        <f t="shared" si="3"/>
        <v>0.43636988485191347</v>
      </c>
      <c r="L19" s="9">
        <f t="shared" si="4"/>
        <v>0.5618282566481889</v>
      </c>
      <c r="M19" s="9">
        <f t="shared" si="5"/>
        <v>0.6872866284444643</v>
      </c>
      <c r="N19" s="9">
        <f t="shared" si="6"/>
        <v>0.8127450002407398</v>
      </c>
      <c r="O19" s="9">
        <f t="shared" si="7"/>
        <v>0.9372866284444643</v>
      </c>
      <c r="P19" s="9">
        <f>sunrise(Location!$B$4,Location!$B$5,Location!$B$6,3,A19,Location!$B$7,IF(Location!$B$8="No",0,1))</f>
        <v>0.310911513055638</v>
      </c>
      <c r="Q19" s="9">
        <f>sunset(Location!$B$4,Location!$B$5,Location!$B$6,3,A19,Location!$B$7,IF(Location!$B$8="No",0,1))</f>
        <v>0.8127450002407398</v>
      </c>
      <c r="R19" s="9">
        <f t="shared" si="8"/>
        <v>0.5018334871851018</v>
      </c>
      <c r="S19" s="10">
        <f t="shared" si="9"/>
        <v>0.04181945726542515</v>
      </c>
      <c r="T19" s="9">
        <f t="shared" si="10"/>
        <v>23.498166512814898</v>
      </c>
      <c r="U19" s="10">
        <f t="shared" si="11"/>
        <v>0.04151387606790818</v>
      </c>
    </row>
    <row r="20" spans="1:21" ht="12.75">
      <c r="A20" s="5">
        <v>18</v>
      </c>
      <c r="B20" s="6" t="str">
        <f t="shared" si="13"/>
        <v>Wednesday</v>
      </c>
      <c r="C20" s="59"/>
      <c r="D20" s="25"/>
      <c r="E20" s="8" t="s">
        <v>36</v>
      </c>
      <c r="F20" s="6" t="s">
        <v>105</v>
      </c>
      <c r="G20" s="48" t="s">
        <v>106</v>
      </c>
      <c r="H20" s="9">
        <f t="shared" si="0"/>
        <v>12.061626095560822</v>
      </c>
      <c r="I20" s="9">
        <f t="shared" si="1"/>
        <v>6.185856442632257</v>
      </c>
      <c r="J20" s="9">
        <f t="shared" si="2"/>
        <v>0.3100867897036926</v>
      </c>
      <c r="K20" s="9">
        <f t="shared" si="3"/>
        <v>0.4358564426322574</v>
      </c>
      <c r="L20" s="9">
        <f t="shared" si="4"/>
        <v>0.5616260955608223</v>
      </c>
      <c r="M20" s="9">
        <f t="shared" si="5"/>
        <v>0.6873957484893871</v>
      </c>
      <c r="N20" s="9">
        <f t="shared" si="6"/>
        <v>0.8131654014179519</v>
      </c>
      <c r="O20" s="9">
        <f t="shared" si="7"/>
        <v>0.937395748489387</v>
      </c>
      <c r="P20" s="9">
        <f>sunrise(Location!$B$4,Location!$B$5,Location!$B$6,3,A20,Location!$B$7,IF(Location!$B$8="No",0,1))</f>
        <v>0.3100867897036926</v>
      </c>
      <c r="Q20" s="9">
        <f>sunset(Location!$B$4,Location!$B$5,Location!$B$6,3,A20,Location!$B$7,IF(Location!$B$8="No",0,1))</f>
        <v>0.8131654014179519</v>
      </c>
      <c r="R20" s="9">
        <f t="shared" si="8"/>
        <v>0.5030786117142594</v>
      </c>
      <c r="S20" s="10">
        <f t="shared" si="9"/>
        <v>0.04192321764285495</v>
      </c>
      <c r="T20" s="9">
        <f t="shared" si="10"/>
        <v>23.49692138828574</v>
      </c>
      <c r="U20" s="10">
        <f t="shared" si="11"/>
        <v>0.04141011569047838</v>
      </c>
    </row>
    <row r="21" spans="1:21" ht="12.75">
      <c r="A21" s="5">
        <v>19</v>
      </c>
      <c r="B21" s="6" t="str">
        <f t="shared" si="13"/>
        <v>Thursday</v>
      </c>
      <c r="C21" s="59"/>
      <c r="D21" s="25" t="s">
        <v>40</v>
      </c>
      <c r="E21" s="8" t="s">
        <v>17</v>
      </c>
      <c r="F21" s="6" t="s">
        <v>107</v>
      </c>
      <c r="G21" s="45" t="s">
        <v>237</v>
      </c>
      <c r="H21" s="9">
        <f t="shared" si="0"/>
        <v>12.061422163007984</v>
      </c>
      <c r="I21" s="9">
        <f t="shared" si="1"/>
        <v>6.1853412146196085</v>
      </c>
      <c r="J21" s="9">
        <f t="shared" si="2"/>
        <v>0.3092602662312324</v>
      </c>
      <c r="K21" s="9">
        <f t="shared" si="3"/>
        <v>0.4353412146196089</v>
      </c>
      <c r="L21" s="9">
        <f t="shared" si="4"/>
        <v>0.5614221630079854</v>
      </c>
      <c r="M21" s="9">
        <f t="shared" si="5"/>
        <v>0.6875031113963619</v>
      </c>
      <c r="N21" s="9">
        <f t="shared" si="6"/>
        <v>0.8135840597847384</v>
      </c>
      <c r="O21" s="9">
        <f t="shared" si="7"/>
        <v>0.9375031113963619</v>
      </c>
      <c r="P21" s="9">
        <f>sunrise(Location!$B$4,Location!$B$5,Location!$B$6,3,A21,Location!$B$7,IF(Location!$B$8="No",0,1))</f>
        <v>0.3092602662312324</v>
      </c>
      <c r="Q21" s="9">
        <f>sunset(Location!$B$4,Location!$B$5,Location!$B$6,3,A21,Location!$B$7,IF(Location!$B$8="No",0,1))</f>
        <v>0.8135840597847384</v>
      </c>
      <c r="R21" s="9">
        <f t="shared" si="8"/>
        <v>0.504323793553506</v>
      </c>
      <c r="S21" s="10">
        <f t="shared" si="9"/>
        <v>0.042026982796125496</v>
      </c>
      <c r="T21" s="9">
        <f t="shared" si="10"/>
        <v>23.495676206446493</v>
      </c>
      <c r="U21" s="10">
        <f t="shared" si="11"/>
        <v>0.04130635053720783</v>
      </c>
    </row>
    <row r="22" spans="1:21" ht="12.75">
      <c r="A22" s="5">
        <v>20</v>
      </c>
      <c r="B22" s="6" t="str">
        <f t="shared" si="13"/>
        <v>Friday</v>
      </c>
      <c r="C22" s="59"/>
      <c r="D22" s="25" t="s">
        <v>42</v>
      </c>
      <c r="E22" s="8" t="s">
        <v>21</v>
      </c>
      <c r="F22" s="6" t="s">
        <v>108</v>
      </c>
      <c r="G22" s="48" t="s">
        <v>109</v>
      </c>
      <c r="H22" s="9">
        <f t="shared" si="0"/>
        <v>12.061216695218068</v>
      </c>
      <c r="I22" s="9">
        <f t="shared" si="1"/>
        <v>6.184824482174498</v>
      </c>
      <c r="J22" s="9">
        <f t="shared" si="2"/>
        <v>0.30843226913092964</v>
      </c>
      <c r="K22" s="9">
        <f t="shared" si="3"/>
        <v>0.4348244821744991</v>
      </c>
      <c r="L22" s="9">
        <f t="shared" si="4"/>
        <v>0.5612166952180686</v>
      </c>
      <c r="M22" s="9">
        <f t="shared" si="5"/>
        <v>0.687608908261638</v>
      </c>
      <c r="N22" s="9">
        <f t="shared" si="6"/>
        <v>0.8140011213052074</v>
      </c>
      <c r="O22" s="9">
        <f t="shared" si="7"/>
        <v>0.9376089082616379</v>
      </c>
      <c r="P22" s="9">
        <f>sunrise(Location!$B$4,Location!$B$5,Location!$B$6,3,A22,Location!$B$7,IF(Location!$B$8="No",0,1))</f>
        <v>0.30843226913092964</v>
      </c>
      <c r="Q22" s="9">
        <f>sunset(Location!$B$4,Location!$B$5,Location!$B$6,3,A22,Location!$B$7,IF(Location!$B$8="No",0,1))</f>
        <v>0.8140011213052074</v>
      </c>
      <c r="R22" s="9">
        <f t="shared" si="8"/>
        <v>0.5055688521742778</v>
      </c>
      <c r="S22" s="10">
        <f t="shared" si="9"/>
        <v>0.04213073768118982</v>
      </c>
      <c r="T22" s="9">
        <f t="shared" si="10"/>
        <v>23.494431147825722</v>
      </c>
      <c r="U22" s="10">
        <f t="shared" si="11"/>
        <v>0.04120259565214351</v>
      </c>
    </row>
    <row r="23" spans="1:21" ht="12.75">
      <c r="A23" s="89">
        <v>21</v>
      </c>
      <c r="B23" s="90" t="str">
        <f t="shared" si="13"/>
        <v>Saturday</v>
      </c>
      <c r="C23" s="59"/>
      <c r="D23" s="16"/>
      <c r="E23" s="8" t="s">
        <v>24</v>
      </c>
      <c r="F23" s="6" t="s">
        <v>110</v>
      </c>
      <c r="G23" s="83"/>
      <c r="H23" s="9">
        <f t="shared" si="0"/>
        <v>12.061009927599246</v>
      </c>
      <c r="I23" s="9">
        <f t="shared" si="1"/>
        <v>6.18430652564683</v>
      </c>
      <c r="J23" s="9">
        <f t="shared" si="2"/>
        <v>0.3076031236944152</v>
      </c>
      <c r="K23" s="9">
        <f t="shared" si="3"/>
        <v>0.43430652564683053</v>
      </c>
      <c r="L23" s="9">
        <f t="shared" si="4"/>
        <v>0.5610099275992458</v>
      </c>
      <c r="M23" s="9">
        <f t="shared" si="5"/>
        <v>0.6877133295516611</v>
      </c>
      <c r="N23" s="9">
        <f t="shared" si="6"/>
        <v>0.8144167315040765</v>
      </c>
      <c r="O23" s="9">
        <f t="shared" si="7"/>
        <v>0.9377133295516611</v>
      </c>
      <c r="P23" s="9">
        <f>sunrise(Location!$B$4,Location!$B$5,Location!$B$6,3,A23,Location!$B$7,IF(Location!$B$8="No",0,1))</f>
        <v>0.3076031236944152</v>
      </c>
      <c r="Q23" s="9">
        <f>sunset(Location!$B$4,Location!$B$5,Location!$B$6,3,A23,Location!$B$7,IF(Location!$B$8="No",0,1))</f>
        <v>0.8144167315040765</v>
      </c>
      <c r="R23" s="9">
        <f t="shared" si="8"/>
        <v>0.5068136078096612</v>
      </c>
      <c r="S23" s="10">
        <f t="shared" si="9"/>
        <v>0.04223446731747177</v>
      </c>
      <c r="T23" s="9">
        <f t="shared" si="10"/>
        <v>23.49318639219034</v>
      </c>
      <c r="U23" s="10">
        <f t="shared" si="11"/>
        <v>0.04109886601586156</v>
      </c>
    </row>
    <row r="24" spans="1:21" ht="12.75">
      <c r="A24" s="5">
        <v>22</v>
      </c>
      <c r="B24" s="6" t="str">
        <f aca="true" t="shared" si="14" ref="B24:B30">B3</f>
        <v>Sunday</v>
      </c>
      <c r="C24" s="59"/>
      <c r="D24" s="25" t="s">
        <v>45</v>
      </c>
      <c r="E24" s="8" t="s">
        <v>26</v>
      </c>
      <c r="F24" s="6" t="s">
        <v>111</v>
      </c>
      <c r="G24" s="126" t="s">
        <v>276</v>
      </c>
      <c r="H24" s="9">
        <f t="shared" si="0"/>
        <v>12.060802094608428</v>
      </c>
      <c r="I24" s="9">
        <f t="shared" si="1"/>
        <v>6.183787624324582</v>
      </c>
      <c r="J24" s="9">
        <f t="shared" si="2"/>
        <v>0.30677315404073613</v>
      </c>
      <c r="K24" s="9">
        <f t="shared" si="3"/>
        <v>0.4337876243245821</v>
      </c>
      <c r="L24" s="9">
        <f t="shared" si="4"/>
        <v>0.5608020946084281</v>
      </c>
      <c r="M24" s="9">
        <f t="shared" si="5"/>
        <v>0.687816564892274</v>
      </c>
      <c r="N24" s="9">
        <f t="shared" si="6"/>
        <v>0.8148310351761201</v>
      </c>
      <c r="O24" s="9">
        <f t="shared" si="7"/>
        <v>0.937816564892274</v>
      </c>
      <c r="P24" s="9">
        <f>sunrise(Location!$B$4,Location!$B$5,Location!$B$6,3,A24,Location!$B$7,IF(Location!$B$8="No",0,1))</f>
        <v>0.30677315404073613</v>
      </c>
      <c r="Q24" s="9">
        <f>sunset(Location!$B$4,Location!$B$5,Location!$B$6,3,A24,Location!$B$7,IF(Location!$B$8="No",0,1))</f>
        <v>0.8148310351761201</v>
      </c>
      <c r="R24" s="9">
        <f t="shared" si="8"/>
        <v>0.508057881135384</v>
      </c>
      <c r="S24" s="10">
        <f t="shared" si="9"/>
        <v>0.042338156761282</v>
      </c>
      <c r="T24" s="9">
        <f t="shared" si="10"/>
        <v>23.491942118864618</v>
      </c>
      <c r="U24" s="10">
        <f t="shared" si="11"/>
        <v>0.04099517657205133</v>
      </c>
    </row>
    <row r="25" spans="1:21" ht="12.75">
      <c r="A25" s="5">
        <v>23</v>
      </c>
      <c r="B25" s="6" t="str">
        <f t="shared" si="14"/>
        <v>Monday</v>
      </c>
      <c r="C25" s="59"/>
      <c r="D25" s="16"/>
      <c r="E25" s="8" t="s">
        <v>29</v>
      </c>
      <c r="F25" s="6" t="s">
        <v>112</v>
      </c>
      <c r="G25" s="83"/>
      <c r="H25" s="9">
        <f t="shared" si="0"/>
        <v>12.060593429622857</v>
      </c>
      <c r="I25" s="9">
        <f t="shared" si="1"/>
        <v>6.183268056384217</v>
      </c>
      <c r="J25" s="9">
        <f t="shared" si="2"/>
        <v>0.3059426831455773</v>
      </c>
      <c r="K25" s="9">
        <f t="shared" si="3"/>
        <v>0.4332680563842177</v>
      </c>
      <c r="L25" s="9">
        <f t="shared" si="4"/>
        <v>0.5605934296228581</v>
      </c>
      <c r="M25" s="9">
        <f t="shared" si="5"/>
        <v>0.6879188028614984</v>
      </c>
      <c r="N25" s="9">
        <f t="shared" si="6"/>
        <v>0.8152441761001389</v>
      </c>
      <c r="O25" s="9">
        <f t="shared" si="7"/>
        <v>0.9379188028614984</v>
      </c>
      <c r="P25" s="9">
        <f>sunrise(Location!$B$4,Location!$B$5,Location!$B$6,3,A25,Location!$B$7,IF(Location!$B$8="No",0,1))</f>
        <v>0.3059426831455773</v>
      </c>
      <c r="Q25" s="9">
        <f>sunset(Location!$B$4,Location!$B$5,Location!$B$6,3,A25,Location!$B$7,IF(Location!$B$8="No",0,1))</f>
        <v>0.8152441761001389</v>
      </c>
      <c r="R25" s="9">
        <f t="shared" si="8"/>
        <v>0.5093014929545616</v>
      </c>
      <c r="S25" s="10">
        <f t="shared" si="9"/>
        <v>0.0424417910795468</v>
      </c>
      <c r="T25" s="9">
        <f t="shared" si="10"/>
        <v>23.490698507045437</v>
      </c>
      <c r="U25" s="10">
        <f t="shared" si="11"/>
        <v>0.04089154225378653</v>
      </c>
    </row>
    <row r="26" spans="1:21" ht="12.75">
      <c r="A26" s="5">
        <v>24</v>
      </c>
      <c r="B26" s="6" t="str">
        <f t="shared" si="14"/>
        <v>Tuesday</v>
      </c>
      <c r="C26" s="59"/>
      <c r="D26" s="25" t="s">
        <v>48</v>
      </c>
      <c r="E26" s="8" t="s">
        <v>32</v>
      </c>
      <c r="F26" s="6" t="s">
        <v>113</v>
      </c>
      <c r="G26" s="83"/>
      <c r="H26" s="9">
        <f t="shared" si="0"/>
        <v>12.060384164819622</v>
      </c>
      <c r="I26" s="9">
        <f t="shared" si="1"/>
        <v>6.18274809884932</v>
      </c>
      <c r="J26" s="9">
        <f t="shared" si="2"/>
        <v>0.30511203287901867</v>
      </c>
      <c r="K26" s="9">
        <f t="shared" si="3"/>
        <v>0.43274809884932</v>
      </c>
      <c r="L26" s="9">
        <f t="shared" si="4"/>
        <v>0.5603841648196213</v>
      </c>
      <c r="M26" s="9">
        <f t="shared" si="5"/>
        <v>0.6880202307899226</v>
      </c>
      <c r="N26" s="9">
        <f t="shared" si="6"/>
        <v>0.8156562967602238</v>
      </c>
      <c r="O26" s="9">
        <f t="shared" si="7"/>
        <v>0.9380202307899225</v>
      </c>
      <c r="P26" s="9">
        <f>sunrise(Location!$B$4,Location!$B$5,Location!$B$6,3,A26,Location!$B$7,IF(Location!$B$8="No",0,1))</f>
        <v>0.30511203287901867</v>
      </c>
      <c r="Q26" s="9">
        <f>sunset(Location!$B$4,Location!$B$5,Location!$B$6,3,A26,Location!$B$7,IF(Location!$B$8="No",0,1))</f>
        <v>0.8156562967602238</v>
      </c>
      <c r="R26" s="9">
        <f t="shared" si="8"/>
        <v>0.5105442638812051</v>
      </c>
      <c r="S26" s="10">
        <f t="shared" si="9"/>
        <v>0.04254535532343376</v>
      </c>
      <c r="T26" s="9">
        <f t="shared" si="10"/>
        <v>23.489455736118796</v>
      </c>
      <c r="U26" s="10">
        <f t="shared" si="11"/>
        <v>0.04078797800989957</v>
      </c>
    </row>
    <row r="27" spans="1:21" ht="12.75">
      <c r="A27" s="5">
        <v>25</v>
      </c>
      <c r="B27" s="6" t="str">
        <f t="shared" si="14"/>
        <v>Wednesday</v>
      </c>
      <c r="C27" s="59"/>
      <c r="D27" s="25" t="s">
        <v>50</v>
      </c>
      <c r="E27" s="8" t="s">
        <v>36</v>
      </c>
      <c r="F27" s="6" t="s">
        <v>114</v>
      </c>
      <c r="G27" s="48" t="s">
        <v>115</v>
      </c>
      <c r="H27" s="9">
        <f t="shared" si="0"/>
        <v>12.060174531055203</v>
      </c>
      <c r="I27" s="9">
        <f t="shared" si="1"/>
        <v>6.182228027547926</v>
      </c>
      <c r="J27" s="9">
        <f t="shared" si="2"/>
        <v>0.304281524040648</v>
      </c>
      <c r="K27" s="9">
        <f t="shared" si="3"/>
        <v>0.4322280275479249</v>
      </c>
      <c r="L27" s="9">
        <f t="shared" si="4"/>
        <v>0.5601745310552018</v>
      </c>
      <c r="M27" s="9">
        <f t="shared" si="5"/>
        <v>0.6881210345624786</v>
      </c>
      <c r="N27" s="9">
        <f t="shared" si="6"/>
        <v>0.8160675380697555</v>
      </c>
      <c r="O27" s="9">
        <f t="shared" si="7"/>
        <v>0.9381210345624786</v>
      </c>
      <c r="P27" s="9">
        <f>sunrise(Location!$B$4,Location!$B$5,Location!$B$6,3,A27,Location!$B$7,IF(Location!$B$8="No",0,1))</f>
        <v>0.304281524040648</v>
      </c>
      <c r="Q27" s="9">
        <f>sunset(Location!$B$4,Location!$B$5,Location!$B$6,3,A27,Location!$B$7,IF(Location!$B$8="No",0,1))</f>
        <v>0.8160675380697555</v>
      </c>
      <c r="R27" s="9">
        <f t="shared" si="8"/>
        <v>0.5117860140291075</v>
      </c>
      <c r="S27" s="10">
        <f t="shared" si="9"/>
        <v>0.042648834502425625</v>
      </c>
      <c r="T27" s="9">
        <f t="shared" si="10"/>
        <v>23.488213985970894</v>
      </c>
      <c r="U27" s="10">
        <f t="shared" si="11"/>
        <v>0.0406844988309077</v>
      </c>
    </row>
    <row r="28" spans="1:21" ht="12.75">
      <c r="A28" s="5">
        <v>26</v>
      </c>
      <c r="B28" s="6" t="str">
        <f t="shared" si="14"/>
        <v>Thursday</v>
      </c>
      <c r="C28" s="59"/>
      <c r="D28" s="25"/>
      <c r="E28" s="8" t="s">
        <v>17</v>
      </c>
      <c r="F28" s="6" t="s">
        <v>116</v>
      </c>
      <c r="G28" s="83"/>
      <c r="H28" s="9">
        <f t="shared" si="0"/>
        <v>12.059964757751398</v>
      </c>
      <c r="I28" s="9">
        <f t="shared" si="1"/>
        <v>6.181708117076559</v>
      </c>
      <c r="J28" s="9">
        <f t="shared" si="2"/>
        <v>0.30345147640171866</v>
      </c>
      <c r="K28" s="9">
        <f t="shared" si="3"/>
        <v>0.43170811707655843</v>
      </c>
      <c r="L28" s="9">
        <f t="shared" si="4"/>
        <v>0.5599647577513982</v>
      </c>
      <c r="M28" s="9">
        <f t="shared" si="5"/>
        <v>0.688221398426238</v>
      </c>
      <c r="N28" s="9">
        <f t="shared" si="6"/>
        <v>0.8164780391010776</v>
      </c>
      <c r="O28" s="9">
        <f t="shared" si="7"/>
        <v>0.9382213984262379</v>
      </c>
      <c r="P28" s="9">
        <f>sunrise(Location!$B$4,Location!$B$5,Location!$B$6,3,A28,Location!$B$7,IF(Location!$B$8="No",0,1))</f>
        <v>0.30345147640171866</v>
      </c>
      <c r="Q28" s="9">
        <f>sunset(Location!$B$4,Location!$B$5,Location!$B$6,3,A28,Location!$B$7,IF(Location!$B$8="No",0,1))</f>
        <v>0.8164780391010776</v>
      </c>
      <c r="R28" s="9">
        <f t="shared" si="8"/>
        <v>0.513026562699359</v>
      </c>
      <c r="S28" s="10">
        <f t="shared" si="9"/>
        <v>0.04275221355827991</v>
      </c>
      <c r="T28" s="9">
        <f t="shared" si="10"/>
        <v>23.48697343730064</v>
      </c>
      <c r="U28" s="10">
        <f t="shared" si="11"/>
        <v>0.040581119775053416</v>
      </c>
    </row>
    <row r="29" spans="1:21" ht="12.75">
      <c r="A29" s="5">
        <v>27</v>
      </c>
      <c r="B29" s="6" t="str">
        <f t="shared" si="14"/>
        <v>Friday</v>
      </c>
      <c r="C29" s="59"/>
      <c r="D29" s="25" t="s">
        <v>53</v>
      </c>
      <c r="E29" s="8" t="s">
        <v>21</v>
      </c>
      <c r="F29" s="6" t="s">
        <v>117</v>
      </c>
      <c r="G29" s="83"/>
      <c r="H29" s="9">
        <f t="shared" si="0"/>
        <v>12.059755072781826</v>
      </c>
      <c r="I29" s="9">
        <f t="shared" si="1"/>
        <v>6.181188640763066</v>
      </c>
      <c r="J29" s="9">
        <f t="shared" si="2"/>
        <v>0.3026222087443067</v>
      </c>
      <c r="K29" s="9">
        <f t="shared" si="3"/>
        <v>0.43118864076306684</v>
      </c>
      <c r="L29" s="9">
        <f t="shared" si="4"/>
        <v>0.559755072781827</v>
      </c>
      <c r="M29" s="9">
        <f t="shared" si="5"/>
        <v>0.6883215048005873</v>
      </c>
      <c r="N29" s="9">
        <f t="shared" si="6"/>
        <v>0.8168879368193475</v>
      </c>
      <c r="O29" s="9">
        <f t="shared" si="7"/>
        <v>0.9383215048005873</v>
      </c>
      <c r="P29" s="9">
        <f>sunrise(Location!$B$4,Location!$B$5,Location!$B$6,3,A29,Location!$B$7,IF(Location!$B$8="No",0,1))</f>
        <v>0.3026222087443067</v>
      </c>
      <c r="Q29" s="9">
        <f>sunset(Location!$B$4,Location!$B$5,Location!$B$6,3,A29,Location!$B$7,IF(Location!$B$8="No",0,1))</f>
        <v>0.8168879368193475</v>
      </c>
      <c r="R29" s="9">
        <f t="shared" si="8"/>
        <v>0.5142657280750408</v>
      </c>
      <c r="S29" s="10">
        <f t="shared" si="9"/>
        <v>0.04285547733958673</v>
      </c>
      <c r="T29" s="9">
        <f t="shared" si="10"/>
        <v>23.485734271924958</v>
      </c>
      <c r="U29" s="10">
        <f t="shared" si="11"/>
        <v>0.0404778559937466</v>
      </c>
    </row>
    <row r="30" spans="1:21" ht="12.75">
      <c r="A30" s="5">
        <v>28</v>
      </c>
      <c r="B30" s="6" t="str">
        <f t="shared" si="14"/>
        <v>Saturday</v>
      </c>
      <c r="C30" s="59"/>
      <c r="D30" s="25" t="s">
        <v>55</v>
      </c>
      <c r="E30" s="8" t="s">
        <v>24</v>
      </c>
      <c r="F30" s="6" t="s">
        <v>118</v>
      </c>
      <c r="G30" s="83"/>
      <c r="H30" s="9">
        <f t="shared" si="0"/>
        <v>12.059545702361389</v>
      </c>
      <c r="I30" s="9">
        <f t="shared" si="1"/>
        <v>6.180669870633111</v>
      </c>
      <c r="J30" s="9">
        <f t="shared" si="2"/>
        <v>0.30179403890483447</v>
      </c>
      <c r="K30" s="9">
        <f t="shared" si="3"/>
        <v>0.4306698706331114</v>
      </c>
      <c r="L30" s="9">
        <f t="shared" si="4"/>
        <v>0.5595457023613883</v>
      </c>
      <c r="M30" s="9">
        <f t="shared" si="5"/>
        <v>0.6884215340896653</v>
      </c>
      <c r="N30" s="9">
        <f t="shared" si="6"/>
        <v>0.8172973658179422</v>
      </c>
      <c r="O30" s="9">
        <f t="shared" si="7"/>
        <v>0.9384215340896652</v>
      </c>
      <c r="P30" s="9">
        <f>sunrise(Location!$B$4,Location!$B$5,Location!$B$6,3,A30,Location!$B$7,IF(Location!$B$8="No",0,1))</f>
        <v>0.30179403890483447</v>
      </c>
      <c r="Q30" s="9">
        <f>sunset(Location!$B$4,Location!$B$5,Location!$B$6,3,A30,Location!$B$7,IF(Location!$B$8="No",0,1))</f>
        <v>0.8172973658179422</v>
      </c>
      <c r="R30" s="9">
        <f t="shared" si="8"/>
        <v>0.5155033269131077</v>
      </c>
      <c r="S30" s="10">
        <f t="shared" si="9"/>
        <v>0.042958610576092314</v>
      </c>
      <c r="T30" s="9">
        <f t="shared" si="10"/>
        <v>23.48449667308689</v>
      </c>
      <c r="U30" s="10">
        <f t="shared" si="11"/>
        <v>0.040374722757241015</v>
      </c>
    </row>
    <row r="31" spans="1:21" ht="12.75">
      <c r="A31" s="5">
        <v>29</v>
      </c>
      <c r="B31" s="6" t="str">
        <f>B3</f>
        <v>Sunday</v>
      </c>
      <c r="C31" s="59"/>
      <c r="D31" s="25"/>
      <c r="E31" s="8" t="s">
        <v>26</v>
      </c>
      <c r="F31" s="6" t="s">
        <v>119</v>
      </c>
      <c r="G31" s="126" t="s">
        <v>277</v>
      </c>
      <c r="H31" s="9">
        <f t="shared" si="0"/>
        <v>12.059336870935514</v>
      </c>
      <c r="I31" s="9">
        <f t="shared" si="1"/>
        <v>6.180152077374097</v>
      </c>
      <c r="J31" s="9">
        <f t="shared" si="2"/>
        <v>0.30096728381267973</v>
      </c>
      <c r="K31" s="9">
        <f t="shared" si="3"/>
        <v>0.430152077374097</v>
      </c>
      <c r="L31" s="9">
        <f t="shared" si="4"/>
        <v>0.5593368709355142</v>
      </c>
      <c r="M31" s="9">
        <f t="shared" si="5"/>
        <v>0.6885216644969314</v>
      </c>
      <c r="N31" s="9">
        <f t="shared" si="6"/>
        <v>0.8177064580583485</v>
      </c>
      <c r="O31" s="9">
        <f t="shared" si="7"/>
        <v>0.9385216644969313</v>
      </c>
      <c r="P31" s="9">
        <f>sunrise(Location!$B$4,Location!$B$5,Location!$B$6,3,A31,Location!$B$7,IF(Location!$B$8="No",0,1))</f>
        <v>0.30096728381267973</v>
      </c>
      <c r="Q31" s="9">
        <f>sunset(Location!$B$4,Location!$B$5,Location!$B$6,3,A31,Location!$B$7,IF(Location!$B$8="No",0,1))</f>
        <v>0.8177064580583485</v>
      </c>
      <c r="R31" s="9">
        <f t="shared" si="8"/>
        <v>0.5167391742456688</v>
      </c>
      <c r="S31" s="10">
        <f t="shared" si="9"/>
        <v>0.043061597853805735</v>
      </c>
      <c r="T31" s="9">
        <f t="shared" si="10"/>
        <v>23.483260825754332</v>
      </c>
      <c r="U31" s="10">
        <f t="shared" si="11"/>
        <v>0.040271735479527594</v>
      </c>
    </row>
    <row r="32" spans="1:21" ht="12.75">
      <c r="A32" s="5">
        <v>30</v>
      </c>
      <c r="B32" s="6" t="str">
        <f>B4</f>
        <v>Monday</v>
      </c>
      <c r="C32" s="59"/>
      <c r="D32" s="25" t="s">
        <v>59</v>
      </c>
      <c r="E32" s="8" t="s">
        <v>29</v>
      </c>
      <c r="F32" s="6" t="s">
        <v>120</v>
      </c>
      <c r="G32" s="83"/>
      <c r="H32" s="9">
        <f t="shared" si="0"/>
        <v>12.059128801072172</v>
      </c>
      <c r="I32" s="9">
        <f t="shared" si="1"/>
        <v>6.1796355303026695</v>
      </c>
      <c r="J32" s="9">
        <f t="shared" si="2"/>
        <v>0.3001422595331669</v>
      </c>
      <c r="K32" s="9">
        <f t="shared" si="3"/>
        <v>0.42963553030266843</v>
      </c>
      <c r="L32" s="9">
        <f t="shared" si="4"/>
        <v>0.55912880107217</v>
      </c>
      <c r="M32" s="9">
        <f t="shared" si="5"/>
        <v>0.6886220718416716</v>
      </c>
      <c r="N32" s="9">
        <f t="shared" si="6"/>
        <v>0.8181153426111732</v>
      </c>
      <c r="O32" s="9">
        <f t="shared" si="7"/>
        <v>0.9386220718416717</v>
      </c>
      <c r="P32" s="9">
        <f>sunrise(Location!$B$4,Location!$B$5,Location!$B$6,3,A32,Location!$B$7,IF(Location!$B$8="No",0,1))</f>
        <v>0.3001422595331669</v>
      </c>
      <c r="Q32" s="9">
        <f>sunset(Location!$B$4,Location!$B$5,Location!$B$6,3,A32,Location!$B$7,IF(Location!$B$8="No",0,1))</f>
        <v>0.8181153426111732</v>
      </c>
      <c r="R32" s="9">
        <f t="shared" si="8"/>
        <v>0.5179730830780063</v>
      </c>
      <c r="S32" s="10">
        <f t="shared" si="9"/>
        <v>0.043164423589833856</v>
      </c>
      <c r="T32" s="9">
        <f t="shared" si="10"/>
        <v>23.482026916921996</v>
      </c>
      <c r="U32" s="10">
        <f t="shared" si="11"/>
        <v>0.04016890974349947</v>
      </c>
    </row>
    <row r="33" spans="1:21" ht="12.75">
      <c r="A33" s="5">
        <v>31</v>
      </c>
      <c r="B33" s="6" t="str">
        <f>B5</f>
        <v>Tuesday</v>
      </c>
      <c r="C33" s="59"/>
      <c r="D33" s="25" t="s">
        <v>61</v>
      </c>
      <c r="E33" s="8" t="s">
        <v>32</v>
      </c>
      <c r="F33" s="6" t="s">
        <v>78</v>
      </c>
      <c r="G33" s="83"/>
      <c r="H33" s="9">
        <f t="shared" si="0"/>
        <v>12.058921713352493</v>
      </c>
      <c r="I33" s="9">
        <f t="shared" si="1"/>
        <v>6.179120497328696</v>
      </c>
      <c r="J33" s="9">
        <f t="shared" si="2"/>
        <v>0.29931928130489893</v>
      </c>
      <c r="K33" s="9">
        <f t="shared" si="3"/>
        <v>0.429120497328696</v>
      </c>
      <c r="L33" s="9">
        <f t="shared" si="4"/>
        <v>0.5589217133524931</v>
      </c>
      <c r="M33" s="9">
        <f t="shared" si="5"/>
        <v>0.6887229293762902</v>
      </c>
      <c r="N33" s="9">
        <f t="shared" si="6"/>
        <v>0.8185241454000873</v>
      </c>
      <c r="O33" s="9">
        <f t="shared" si="7"/>
        <v>0.9387229293762902</v>
      </c>
      <c r="P33" s="9">
        <f>sunrise(Location!$B$4,Location!$B$5,Location!$B$6,3,A33,Location!$B$7,IF(Location!$B$8="No",0,1))</f>
        <v>0.29931928130489893</v>
      </c>
      <c r="Q33" s="9">
        <f>sunset(Location!$B$4,Location!$B$5,Location!$B$6,3,A33,Location!$B$7,IF(Location!$B$8="No",0,1))</f>
        <v>0.8185241454000873</v>
      </c>
      <c r="R33" s="9">
        <f t="shared" si="8"/>
        <v>0.5192048640951884</v>
      </c>
      <c r="S33" s="10">
        <f t="shared" si="9"/>
        <v>0.04326707200793237</v>
      </c>
      <c r="T33" s="9">
        <f t="shared" si="10"/>
        <v>23.480795135904813</v>
      </c>
      <c r="U33" s="10">
        <f t="shared" si="11"/>
        <v>0.04006626132540096</v>
      </c>
    </row>
    <row r="34" spans="1:21" ht="12.75">
      <c r="A34" s="6"/>
      <c r="B34" s="6"/>
      <c r="C34" s="6"/>
      <c r="D34" s="6"/>
      <c r="F34" s="6"/>
      <c r="G34" s="15"/>
      <c r="H34" s="9"/>
      <c r="I34" s="9"/>
      <c r="J34" s="9"/>
      <c r="K34" s="9"/>
      <c r="L34" s="9"/>
      <c r="M34" s="9"/>
      <c r="N34" s="9"/>
      <c r="O34" s="9"/>
      <c r="P34" s="9"/>
      <c r="Q34" s="9"/>
      <c r="R34" s="9"/>
      <c r="S34" s="10"/>
      <c r="T34" s="9"/>
      <c r="U34" s="10"/>
    </row>
    <row r="35" spans="1:21" ht="12.75">
      <c r="A35" s="6"/>
      <c r="C35" s="6"/>
      <c r="D35" s="6"/>
      <c r="E35" s="11"/>
      <c r="F35" s="6"/>
      <c r="G35" s="15"/>
      <c r="H35" s="9"/>
      <c r="I35" s="9"/>
      <c r="J35" s="9"/>
      <c r="K35" s="9"/>
      <c r="L35" s="9"/>
      <c r="M35" s="9"/>
      <c r="N35" s="9"/>
      <c r="O35" s="9"/>
      <c r="P35" s="9"/>
      <c r="Q35" s="9"/>
      <c r="R35" s="9"/>
      <c r="S35" s="10"/>
      <c r="T35" s="9"/>
      <c r="U35" s="10"/>
    </row>
    <row r="36" spans="1:21" ht="12.75">
      <c r="A36" s="6"/>
      <c r="B36" s="6"/>
      <c r="C36" s="6"/>
      <c r="D36" s="40">
        <f>Location!C12</f>
        <v>15</v>
      </c>
      <c r="E36" s="13"/>
      <c r="F36" s="6"/>
      <c r="G36" s="15"/>
      <c r="H36" s="9"/>
      <c r="I36" s="9"/>
      <c r="J36" s="9"/>
      <c r="K36" s="9"/>
      <c r="L36" s="9"/>
      <c r="M36" s="9"/>
      <c r="N36" s="9"/>
      <c r="O36" s="9"/>
      <c r="P36" s="9"/>
      <c r="Q36" s="9"/>
      <c r="R36" s="9"/>
      <c r="S36" s="10"/>
      <c r="T36" s="9"/>
      <c r="U36" s="10"/>
    </row>
    <row r="37" spans="1:21" ht="12.75">
      <c r="A37" s="6"/>
      <c r="B37" s="6"/>
      <c r="C37" s="58" t="str">
        <f>IF(Location!B9="No",Location!C13,Location!C14)</f>
        <v>D</v>
      </c>
      <c r="D37" s="6"/>
      <c r="E37" s="13"/>
      <c r="F37" s="6"/>
      <c r="G37" s="15"/>
      <c r="H37" s="9"/>
      <c r="I37" s="9"/>
      <c r="J37" s="9"/>
      <c r="K37" s="9"/>
      <c r="L37" s="9"/>
      <c r="M37" s="9"/>
      <c r="N37" s="9"/>
      <c r="O37" s="9"/>
      <c r="P37" s="9"/>
      <c r="Q37" s="9"/>
      <c r="R37" s="9"/>
      <c r="S37" s="10"/>
      <c r="T37" s="9"/>
      <c r="U37" s="10"/>
    </row>
    <row r="38" spans="1:21" ht="12.75">
      <c r="A38" s="6"/>
      <c r="B38" s="6"/>
      <c r="C38" s="6"/>
      <c r="D38" s="6"/>
      <c r="E38" s="6"/>
      <c r="F38" s="6"/>
      <c r="G38" s="15"/>
      <c r="H38" s="9"/>
      <c r="I38" s="9"/>
      <c r="J38" s="9"/>
      <c r="K38" s="9"/>
      <c r="L38" s="9"/>
      <c r="M38" s="9"/>
      <c r="N38" s="9"/>
      <c r="O38" s="9"/>
      <c r="P38" s="9"/>
      <c r="Q38" s="9"/>
      <c r="R38" s="9"/>
      <c r="S38" s="10"/>
      <c r="T38" s="9"/>
      <c r="U38" s="10"/>
    </row>
    <row r="39" spans="1:21" ht="12.75">
      <c r="A39" s="6"/>
      <c r="C39" s="6"/>
      <c r="E39" s="6"/>
      <c r="F39" s="6"/>
      <c r="G39" s="15"/>
      <c r="H39" s="9"/>
      <c r="I39" s="9"/>
      <c r="J39" s="9"/>
      <c r="K39" s="9"/>
      <c r="L39" s="9"/>
      <c r="M39" s="9"/>
      <c r="N39" s="9"/>
      <c r="O39" s="9"/>
      <c r="P39" s="9"/>
      <c r="Q39" s="9"/>
      <c r="R39" s="9"/>
      <c r="S39" s="10"/>
      <c r="T39" s="9"/>
      <c r="U39" s="10"/>
    </row>
    <row r="40" ht="12.75">
      <c r="G40" s="2"/>
    </row>
    <row r="41" ht="12.75">
      <c r="G41" s="2"/>
    </row>
    <row r="42" ht="12.75">
      <c r="G42" s="2"/>
    </row>
    <row r="43" ht="12.75">
      <c r="G43" s="2"/>
    </row>
    <row r="44" ht="12.75">
      <c r="G44" s="2"/>
    </row>
    <row r="45" ht="12.75">
      <c r="G45" s="2"/>
    </row>
    <row r="46" ht="12.75">
      <c r="G46" s="2"/>
    </row>
    <row r="47" ht="12.75">
      <c r="G47" s="2"/>
    </row>
    <row r="48" ht="12.75">
      <c r="G48" s="2"/>
    </row>
    <row r="49" ht="12.75">
      <c r="G49" s="2"/>
    </row>
    <row r="50" ht="12.75">
      <c r="G50" s="2"/>
    </row>
    <row r="51" ht="12.75">
      <c r="G51" s="2"/>
    </row>
    <row r="52" ht="12.75">
      <c r="G52" s="2"/>
    </row>
    <row r="53" ht="12.75">
      <c r="G53" s="2"/>
    </row>
    <row r="54" ht="12.75">
      <c r="G54" s="2"/>
    </row>
    <row r="55" ht="12.75">
      <c r="G55" s="2"/>
    </row>
    <row r="56" ht="12.75">
      <c r="G56" s="2"/>
    </row>
    <row r="57" ht="12.75">
      <c r="G57" s="2"/>
    </row>
    <row r="58" ht="12.75">
      <c r="G58" s="2"/>
    </row>
    <row r="59" ht="12.75">
      <c r="G59" s="2"/>
    </row>
    <row r="60" ht="12.75">
      <c r="G60" s="2"/>
    </row>
    <row r="61" ht="12.75">
      <c r="G61" s="2"/>
    </row>
    <row r="62" ht="12.75">
      <c r="G62" s="2"/>
    </row>
    <row r="63" ht="12.75">
      <c r="G63" s="2"/>
    </row>
    <row r="64" ht="12.75">
      <c r="G64" s="2"/>
    </row>
    <row r="65" ht="12.75">
      <c r="G65" s="2"/>
    </row>
    <row r="66" ht="12.75">
      <c r="G66" s="2"/>
    </row>
    <row r="67" ht="12.75">
      <c r="G67" s="2"/>
    </row>
    <row r="68" ht="12.75">
      <c r="G68" s="2"/>
    </row>
    <row r="69" spans="2:7" ht="12.75">
      <c r="B69" s="6"/>
      <c r="D69" s="6"/>
      <c r="G69" s="2"/>
    </row>
    <row r="70" spans="1:21" ht="12.75">
      <c r="A70" s="6"/>
      <c r="B70" s="6"/>
      <c r="C70" s="6"/>
      <c r="D70" s="6"/>
      <c r="E70" s="6"/>
      <c r="F70" s="6"/>
      <c r="G70" s="15"/>
      <c r="H70" s="9"/>
      <c r="I70" s="9"/>
      <c r="J70" s="9"/>
      <c r="K70" s="9"/>
      <c r="L70" s="9"/>
      <c r="M70" s="9"/>
      <c r="N70" s="9"/>
      <c r="O70" s="9"/>
      <c r="P70" s="9"/>
      <c r="Q70" s="9"/>
      <c r="R70" s="9"/>
      <c r="S70" s="10"/>
      <c r="T70" s="9"/>
      <c r="U70" s="10"/>
    </row>
    <row r="71" spans="1:21" ht="12.75">
      <c r="A71" s="6"/>
      <c r="B71" s="6"/>
      <c r="C71" s="6"/>
      <c r="D71" s="6"/>
      <c r="E71" s="6"/>
      <c r="F71" s="6"/>
      <c r="G71" s="15"/>
      <c r="H71" s="9"/>
      <c r="I71" s="9"/>
      <c r="J71" s="9"/>
      <c r="K71" s="9"/>
      <c r="L71" s="9"/>
      <c r="M71" s="9"/>
      <c r="N71" s="9"/>
      <c r="O71" s="9"/>
      <c r="P71" s="9"/>
      <c r="Q71" s="9"/>
      <c r="R71" s="9"/>
      <c r="S71" s="10"/>
      <c r="T71" s="9"/>
      <c r="U71" s="10"/>
    </row>
    <row r="72" spans="1:21" ht="12.75">
      <c r="A72" s="6"/>
      <c r="B72" s="6"/>
      <c r="C72" s="6"/>
      <c r="D72" s="6"/>
      <c r="E72" s="6"/>
      <c r="F72" s="6"/>
      <c r="G72" s="15"/>
      <c r="H72" s="9"/>
      <c r="I72" s="9"/>
      <c r="J72" s="9"/>
      <c r="K72" s="9"/>
      <c r="L72" s="9"/>
      <c r="M72" s="9"/>
      <c r="N72" s="9"/>
      <c r="O72" s="9"/>
      <c r="P72" s="9"/>
      <c r="Q72" s="9"/>
      <c r="R72" s="9"/>
      <c r="S72" s="10"/>
      <c r="T72" s="9"/>
      <c r="U72" s="10"/>
    </row>
    <row r="73" spans="1:21" ht="12.75">
      <c r="A73" s="6"/>
      <c r="B73" s="6"/>
      <c r="C73" s="6"/>
      <c r="D73" s="6"/>
      <c r="E73" s="6"/>
      <c r="F73" s="6"/>
      <c r="G73" s="15"/>
      <c r="H73" s="9"/>
      <c r="I73" s="9"/>
      <c r="J73" s="9"/>
      <c r="K73" s="9"/>
      <c r="L73" s="9"/>
      <c r="M73" s="9"/>
      <c r="N73" s="9"/>
      <c r="O73" s="9"/>
      <c r="P73" s="9"/>
      <c r="Q73" s="9"/>
      <c r="R73" s="9"/>
      <c r="S73" s="10"/>
      <c r="T73" s="9"/>
      <c r="U73" s="10"/>
    </row>
    <row r="74" spans="1:21" ht="12.75">
      <c r="A74" s="6"/>
      <c r="B74" s="6"/>
      <c r="C74" s="6"/>
      <c r="D74" s="6"/>
      <c r="E74" s="6"/>
      <c r="F74" s="6"/>
      <c r="G74" s="15"/>
      <c r="H74" s="9"/>
      <c r="I74" s="9"/>
      <c r="J74" s="9"/>
      <c r="K74" s="9"/>
      <c r="L74" s="9"/>
      <c r="M74" s="9"/>
      <c r="N74" s="9"/>
      <c r="O74" s="9"/>
      <c r="P74" s="9"/>
      <c r="Q74" s="9"/>
      <c r="R74" s="9"/>
      <c r="S74" s="10"/>
      <c r="T74" s="9"/>
      <c r="U74" s="10"/>
    </row>
    <row r="75" spans="1:21" ht="12.75">
      <c r="A75" s="6"/>
      <c r="B75" s="6"/>
      <c r="C75" s="6"/>
      <c r="D75" s="6"/>
      <c r="E75" s="6"/>
      <c r="F75" s="6"/>
      <c r="G75" s="15"/>
      <c r="H75" s="9"/>
      <c r="I75" s="9"/>
      <c r="J75" s="9"/>
      <c r="K75" s="9"/>
      <c r="L75" s="9"/>
      <c r="M75" s="9"/>
      <c r="N75" s="9"/>
      <c r="O75" s="9"/>
      <c r="P75" s="9"/>
      <c r="Q75" s="9"/>
      <c r="R75" s="9"/>
      <c r="S75" s="10"/>
      <c r="T75" s="9"/>
      <c r="U75" s="10"/>
    </row>
    <row r="76" spans="1:21" ht="12.75">
      <c r="A76" s="6"/>
      <c r="B76" s="6"/>
      <c r="C76" s="6"/>
      <c r="D76" s="6"/>
      <c r="E76" s="6"/>
      <c r="F76" s="6"/>
      <c r="G76" s="14"/>
      <c r="H76" s="9"/>
      <c r="I76" s="9"/>
      <c r="J76" s="9"/>
      <c r="K76" s="9"/>
      <c r="L76" s="9"/>
      <c r="M76" s="9"/>
      <c r="N76" s="9"/>
      <c r="O76" s="9"/>
      <c r="P76" s="9"/>
      <c r="Q76" s="9"/>
      <c r="R76" s="9"/>
      <c r="S76" s="10"/>
      <c r="T76" s="9"/>
      <c r="U76" s="10"/>
    </row>
    <row r="77" spans="1:21" ht="12.75">
      <c r="A77" s="6"/>
      <c r="B77" s="6"/>
      <c r="C77" s="6"/>
      <c r="D77" s="6"/>
      <c r="E77" s="6"/>
      <c r="F77" s="6"/>
      <c r="G77" s="14"/>
      <c r="H77" s="9"/>
      <c r="I77" s="9"/>
      <c r="J77" s="9"/>
      <c r="K77" s="9"/>
      <c r="L77" s="9"/>
      <c r="M77" s="9"/>
      <c r="N77" s="9"/>
      <c r="O77" s="9"/>
      <c r="P77" s="9"/>
      <c r="Q77" s="9"/>
      <c r="R77" s="9"/>
      <c r="S77" s="10"/>
      <c r="T77" s="9"/>
      <c r="U77" s="10"/>
    </row>
    <row r="78" spans="1:21" ht="12.75">
      <c r="A78" s="6"/>
      <c r="B78" s="6"/>
      <c r="C78" s="6"/>
      <c r="D78" s="6"/>
      <c r="E78" s="6"/>
      <c r="F78" s="6"/>
      <c r="G78" s="14"/>
      <c r="H78" s="9"/>
      <c r="I78" s="9"/>
      <c r="J78" s="9"/>
      <c r="K78" s="9"/>
      <c r="L78" s="9"/>
      <c r="M78" s="9"/>
      <c r="N78" s="9"/>
      <c r="O78" s="9"/>
      <c r="P78" s="9"/>
      <c r="Q78" s="9"/>
      <c r="R78" s="9"/>
      <c r="S78" s="10"/>
      <c r="T78" s="9"/>
      <c r="U78" s="10"/>
    </row>
    <row r="79" spans="1:21" ht="12.75">
      <c r="A79" s="6"/>
      <c r="C79" s="6"/>
      <c r="E79" s="6"/>
      <c r="F79" s="6"/>
      <c r="G79" s="14"/>
      <c r="H79" s="9"/>
      <c r="I79" s="9"/>
      <c r="J79" s="9"/>
      <c r="K79" s="9"/>
      <c r="L79" s="9"/>
      <c r="M79" s="9"/>
      <c r="N79" s="9"/>
      <c r="O79" s="9"/>
      <c r="P79" s="9"/>
      <c r="Q79" s="9"/>
      <c r="R79" s="9"/>
      <c r="S79" s="10"/>
      <c r="T79" s="9"/>
      <c r="U79" s="10"/>
    </row>
    <row r="80" ht="12.75">
      <c r="G80" s="2"/>
    </row>
    <row r="81" ht="12.75">
      <c r="G81" s="2"/>
    </row>
    <row r="82" ht="12.75">
      <c r="G82" s="2"/>
    </row>
    <row r="83" ht="12.75">
      <c r="G83" s="2"/>
    </row>
    <row r="84" ht="12.75">
      <c r="G84" s="2"/>
    </row>
    <row r="85" ht="12.75">
      <c r="G85" s="2"/>
    </row>
    <row r="86" ht="12.75">
      <c r="G86" s="2"/>
    </row>
    <row r="87" ht="12.75">
      <c r="G87" s="2"/>
    </row>
    <row r="88" ht="12.75">
      <c r="G88" s="2"/>
    </row>
    <row r="89" ht="12.75">
      <c r="G89" s="2"/>
    </row>
    <row r="90" ht="12.75">
      <c r="G90" s="2"/>
    </row>
    <row r="91" ht="12.75">
      <c r="G91" s="2"/>
    </row>
    <row r="92" ht="12.75">
      <c r="G92" s="2"/>
    </row>
    <row r="93" ht="12.75">
      <c r="G93" s="2"/>
    </row>
    <row r="94" ht="12.75">
      <c r="G94" s="2"/>
    </row>
    <row r="95" ht="12.75">
      <c r="G95" s="2"/>
    </row>
    <row r="96" ht="12.75">
      <c r="G96" s="2"/>
    </row>
    <row r="97" ht="12.75">
      <c r="G97" s="2"/>
    </row>
    <row r="98" ht="12.75">
      <c r="G98" s="2"/>
    </row>
    <row r="99" ht="12.75">
      <c r="G99" s="2"/>
    </row>
    <row r="100" ht="12.75">
      <c r="G100" s="2"/>
    </row>
    <row r="101" ht="12.75">
      <c r="G101" s="2"/>
    </row>
    <row r="102" ht="12.75">
      <c r="G102" s="2"/>
    </row>
    <row r="103" ht="12.75">
      <c r="G103" s="2"/>
    </row>
    <row r="104" ht="12.75">
      <c r="G104" s="2"/>
    </row>
    <row r="105" ht="12.75">
      <c r="G105" s="2"/>
    </row>
    <row r="106" ht="12.75">
      <c r="G106" s="2"/>
    </row>
    <row r="107" ht="12.75">
      <c r="G107" s="2"/>
    </row>
    <row r="108" ht="12.75">
      <c r="G108" s="2"/>
    </row>
    <row r="109" ht="12.75">
      <c r="G109" s="2"/>
    </row>
    <row r="110" ht="12.75">
      <c r="G110" s="2"/>
    </row>
    <row r="111" ht="12.75">
      <c r="G111" s="2"/>
    </row>
    <row r="112" spans="2:7" ht="12.75">
      <c r="B112" s="6"/>
      <c r="D112" s="6"/>
      <c r="G112" s="2"/>
    </row>
    <row r="113" spans="1:21" ht="12.75">
      <c r="A113" s="6"/>
      <c r="B113" s="6"/>
      <c r="C113" s="6"/>
      <c r="D113" s="6"/>
      <c r="E113" s="6"/>
      <c r="F113" s="6"/>
      <c r="G113" s="14"/>
      <c r="H113" s="9"/>
      <c r="I113" s="9"/>
      <c r="J113" s="9"/>
      <c r="K113" s="9"/>
      <c r="L113" s="9"/>
      <c r="M113" s="9"/>
      <c r="N113" s="9"/>
      <c r="O113" s="9"/>
      <c r="P113" s="9"/>
      <c r="Q113" s="9"/>
      <c r="R113" s="9"/>
      <c r="S113" s="10"/>
      <c r="T113" s="9"/>
      <c r="U113" s="10"/>
    </row>
    <row r="114" spans="1:21" ht="12.75">
      <c r="A114" s="6"/>
      <c r="B114" s="6"/>
      <c r="C114" s="6"/>
      <c r="D114" s="6"/>
      <c r="E114" s="6"/>
      <c r="F114" s="6"/>
      <c r="G114" s="14"/>
      <c r="H114" s="9"/>
      <c r="I114" s="9"/>
      <c r="J114" s="9"/>
      <c r="K114" s="9"/>
      <c r="L114" s="9"/>
      <c r="M114" s="9"/>
      <c r="N114" s="9"/>
      <c r="O114" s="9"/>
      <c r="P114" s="9"/>
      <c r="Q114" s="9"/>
      <c r="R114" s="9"/>
      <c r="S114" s="10"/>
      <c r="T114" s="9"/>
      <c r="U114" s="10"/>
    </row>
    <row r="115" spans="1:21" ht="12.75">
      <c r="A115" s="6"/>
      <c r="B115" s="6"/>
      <c r="C115" s="6"/>
      <c r="D115" s="6"/>
      <c r="E115" s="6"/>
      <c r="F115" s="6"/>
      <c r="G115" s="14"/>
      <c r="H115" s="9"/>
      <c r="I115" s="9"/>
      <c r="J115" s="9"/>
      <c r="K115" s="9"/>
      <c r="L115" s="9"/>
      <c r="M115" s="9"/>
      <c r="N115" s="9"/>
      <c r="O115" s="9"/>
      <c r="P115" s="9"/>
      <c r="Q115" s="9"/>
      <c r="R115" s="9"/>
      <c r="S115" s="10"/>
      <c r="T115" s="9"/>
      <c r="U115" s="10"/>
    </row>
    <row r="116" spans="1:21" ht="12.75">
      <c r="A116" s="6"/>
      <c r="B116" s="6"/>
      <c r="C116" s="6"/>
      <c r="D116" s="6"/>
      <c r="E116" s="6"/>
      <c r="F116" s="6"/>
      <c r="G116" s="14"/>
      <c r="H116" s="9"/>
      <c r="I116" s="9"/>
      <c r="J116" s="9"/>
      <c r="K116" s="9"/>
      <c r="L116" s="9"/>
      <c r="M116" s="9"/>
      <c r="N116" s="9"/>
      <c r="O116" s="9"/>
      <c r="P116" s="9"/>
      <c r="Q116" s="9"/>
      <c r="R116" s="9"/>
      <c r="S116" s="10"/>
      <c r="T116" s="9"/>
      <c r="U116" s="10"/>
    </row>
    <row r="117" spans="1:21" ht="12.75">
      <c r="A117" s="6"/>
      <c r="B117" s="6"/>
      <c r="C117" s="6"/>
      <c r="D117" s="6"/>
      <c r="E117" s="6"/>
      <c r="F117" s="6"/>
      <c r="G117" s="14"/>
      <c r="H117" s="9"/>
      <c r="I117" s="9"/>
      <c r="J117" s="9"/>
      <c r="K117" s="9"/>
      <c r="L117" s="9"/>
      <c r="M117" s="9"/>
      <c r="N117" s="9"/>
      <c r="O117" s="9"/>
      <c r="P117" s="9"/>
      <c r="Q117" s="9"/>
      <c r="R117" s="9"/>
      <c r="S117" s="10"/>
      <c r="T117" s="9"/>
      <c r="U117" s="10"/>
    </row>
    <row r="118" spans="1:21" ht="12.75">
      <c r="A118" s="6"/>
      <c r="B118" s="6"/>
      <c r="C118" s="6"/>
      <c r="D118" s="6"/>
      <c r="E118" s="6"/>
      <c r="F118" s="6"/>
      <c r="G118" s="14"/>
      <c r="H118" s="9"/>
      <c r="I118" s="9"/>
      <c r="J118" s="9"/>
      <c r="K118" s="9"/>
      <c r="L118" s="9"/>
      <c r="M118" s="9"/>
      <c r="N118" s="9"/>
      <c r="O118" s="9"/>
      <c r="P118" s="9"/>
      <c r="Q118" s="9"/>
      <c r="R118" s="9"/>
      <c r="S118" s="10"/>
      <c r="T118" s="9"/>
      <c r="U118" s="10"/>
    </row>
    <row r="119" spans="1:21" ht="12.75">
      <c r="A119" s="6"/>
      <c r="C119" s="6"/>
      <c r="E119" s="6"/>
      <c r="F119" s="6"/>
      <c r="G119" s="14"/>
      <c r="H119" s="9"/>
      <c r="I119" s="9"/>
      <c r="J119" s="9"/>
      <c r="K119" s="9"/>
      <c r="L119" s="9"/>
      <c r="M119" s="9"/>
      <c r="N119" s="9"/>
      <c r="O119" s="9"/>
      <c r="P119" s="9"/>
      <c r="Q119" s="9"/>
      <c r="R119" s="9"/>
      <c r="S119" s="10"/>
      <c r="T119" s="9"/>
      <c r="U119" s="10"/>
    </row>
    <row r="120" ht="12.75">
      <c r="G120" s="2"/>
    </row>
    <row r="121" ht="12.75">
      <c r="G121" s="2"/>
    </row>
    <row r="122" ht="12.75">
      <c r="G122" s="2"/>
    </row>
    <row r="123" ht="12.75">
      <c r="G123" s="2"/>
    </row>
    <row r="124" ht="12.75">
      <c r="G124" s="2"/>
    </row>
    <row r="125" ht="12.75">
      <c r="G125" s="2"/>
    </row>
    <row r="126" ht="12.75">
      <c r="G126" s="2"/>
    </row>
    <row r="127" ht="12.75">
      <c r="G127" s="2"/>
    </row>
    <row r="128" ht="12.75">
      <c r="G128" s="2"/>
    </row>
    <row r="129" ht="12.75">
      <c r="G129" s="2"/>
    </row>
    <row r="130" ht="12.75">
      <c r="G130" s="2"/>
    </row>
    <row r="131" ht="12.75">
      <c r="G131" s="2"/>
    </row>
    <row r="132" ht="12.75">
      <c r="G132" s="2"/>
    </row>
    <row r="133" ht="12.75">
      <c r="G133" s="2"/>
    </row>
    <row r="134" ht="12.75">
      <c r="G134" s="2"/>
    </row>
    <row r="135" ht="12.75">
      <c r="G135" s="2"/>
    </row>
    <row r="136" ht="12.75">
      <c r="G136" s="2"/>
    </row>
    <row r="137" ht="12.75">
      <c r="G137" s="2"/>
    </row>
    <row r="138" ht="12.75">
      <c r="G138" s="2"/>
    </row>
    <row r="139" ht="12.75">
      <c r="G139" s="2"/>
    </row>
    <row r="140" ht="12.75">
      <c r="G140" s="2"/>
    </row>
    <row r="141" ht="12.75">
      <c r="G141" s="2"/>
    </row>
    <row r="142" ht="12.75">
      <c r="G142" s="2"/>
    </row>
    <row r="143" ht="12.75">
      <c r="G143" s="2"/>
    </row>
    <row r="144" ht="12.75">
      <c r="G144" s="2"/>
    </row>
    <row r="145" ht="12.75">
      <c r="G145" s="2"/>
    </row>
    <row r="146" ht="12.75">
      <c r="G146" s="2"/>
    </row>
    <row r="147" ht="12.75">
      <c r="G147" s="2"/>
    </row>
    <row r="148" ht="12.75">
      <c r="G148" s="2"/>
    </row>
    <row r="149" ht="12.75">
      <c r="G149" s="2"/>
    </row>
    <row r="150" ht="12.75">
      <c r="G150" s="2"/>
    </row>
    <row r="151" spans="2:7" ht="12.75">
      <c r="B151" s="6"/>
      <c r="D151" s="6"/>
      <c r="G151" s="2"/>
    </row>
    <row r="152" spans="1:21" ht="12.75">
      <c r="A152" s="6"/>
      <c r="B152" s="6"/>
      <c r="C152" s="6"/>
      <c r="D152" s="6"/>
      <c r="E152" s="6"/>
      <c r="F152" s="6"/>
      <c r="G152" s="14"/>
      <c r="H152" s="9"/>
      <c r="I152" s="9"/>
      <c r="J152" s="9"/>
      <c r="K152" s="9"/>
      <c r="L152" s="9"/>
      <c r="M152" s="9"/>
      <c r="N152" s="9"/>
      <c r="O152" s="9"/>
      <c r="P152" s="9"/>
      <c r="Q152" s="9"/>
      <c r="R152" s="9"/>
      <c r="S152" s="10"/>
      <c r="T152" s="9"/>
      <c r="U152" s="10"/>
    </row>
    <row r="153" spans="1:21" ht="12.75">
      <c r="A153" s="6"/>
      <c r="B153" s="6"/>
      <c r="C153" s="6"/>
      <c r="D153" s="6"/>
      <c r="E153" s="6"/>
      <c r="F153" s="6"/>
      <c r="G153" s="14"/>
      <c r="H153" s="9"/>
      <c r="I153" s="9"/>
      <c r="J153" s="9"/>
      <c r="K153" s="9"/>
      <c r="L153" s="9"/>
      <c r="M153" s="9"/>
      <c r="N153" s="9"/>
      <c r="O153" s="9"/>
      <c r="P153" s="9"/>
      <c r="Q153" s="9"/>
      <c r="R153" s="9"/>
      <c r="S153" s="10"/>
      <c r="T153" s="9"/>
      <c r="U153" s="10"/>
    </row>
    <row r="154" spans="1:21" ht="12.75">
      <c r="A154" s="6"/>
      <c r="B154" s="6"/>
      <c r="C154" s="6"/>
      <c r="D154" s="6"/>
      <c r="E154" s="6"/>
      <c r="F154" s="6"/>
      <c r="G154" s="14"/>
      <c r="H154" s="9"/>
      <c r="I154" s="9"/>
      <c r="J154" s="9"/>
      <c r="K154" s="9"/>
      <c r="L154" s="9"/>
      <c r="M154" s="9"/>
      <c r="N154" s="9"/>
      <c r="O154" s="9"/>
      <c r="P154" s="9"/>
      <c r="Q154" s="9"/>
      <c r="R154" s="9"/>
      <c r="S154" s="10"/>
      <c r="T154" s="9"/>
      <c r="U154" s="10"/>
    </row>
    <row r="155" spans="1:21" ht="12.75">
      <c r="A155" s="6"/>
      <c r="B155" s="6"/>
      <c r="C155" s="6"/>
      <c r="D155" s="6"/>
      <c r="E155" s="6"/>
      <c r="F155" s="6"/>
      <c r="G155" s="14"/>
      <c r="H155" s="9"/>
      <c r="I155" s="9"/>
      <c r="J155" s="9"/>
      <c r="K155" s="9"/>
      <c r="L155" s="9"/>
      <c r="M155" s="9"/>
      <c r="N155" s="9"/>
      <c r="O155" s="9"/>
      <c r="P155" s="9"/>
      <c r="Q155" s="9"/>
      <c r="R155" s="9"/>
      <c r="S155" s="10"/>
      <c r="T155" s="9"/>
      <c r="U155" s="10"/>
    </row>
    <row r="156" spans="1:21" ht="12.75">
      <c r="A156" s="6"/>
      <c r="B156" s="6"/>
      <c r="C156" s="6"/>
      <c r="D156" s="6"/>
      <c r="E156" s="6"/>
      <c r="F156" s="6"/>
      <c r="G156" s="14"/>
      <c r="H156" s="9"/>
      <c r="I156" s="9"/>
      <c r="J156" s="9"/>
      <c r="K156" s="9"/>
      <c r="L156" s="9"/>
      <c r="M156" s="9"/>
      <c r="N156" s="9"/>
      <c r="O156" s="9"/>
      <c r="P156" s="9"/>
      <c r="Q156" s="9"/>
      <c r="R156" s="9"/>
      <c r="S156" s="10"/>
      <c r="T156" s="9"/>
      <c r="U156" s="10"/>
    </row>
    <row r="157" spans="1:21" ht="12.75">
      <c r="A157" s="6"/>
      <c r="B157" s="6"/>
      <c r="C157" s="6"/>
      <c r="D157" s="6"/>
      <c r="E157" s="6"/>
      <c r="F157" s="6"/>
      <c r="G157" s="14"/>
      <c r="H157" s="9"/>
      <c r="I157" s="9"/>
      <c r="J157" s="9"/>
      <c r="K157" s="9"/>
      <c r="L157" s="9"/>
      <c r="M157" s="9"/>
      <c r="N157" s="9"/>
      <c r="O157" s="9"/>
      <c r="P157" s="9"/>
      <c r="Q157" s="9"/>
      <c r="R157" s="9"/>
      <c r="S157" s="10"/>
      <c r="T157" s="9"/>
      <c r="U157" s="10"/>
    </row>
    <row r="158" spans="1:21" ht="12.75">
      <c r="A158" s="6"/>
      <c r="C158" s="6"/>
      <c r="E158" s="6"/>
      <c r="F158" s="6"/>
      <c r="G158" s="14"/>
      <c r="H158" s="9"/>
      <c r="I158" s="9"/>
      <c r="J158" s="9"/>
      <c r="K158" s="9"/>
      <c r="L158" s="9"/>
      <c r="M158" s="9"/>
      <c r="N158" s="9"/>
      <c r="O158" s="9"/>
      <c r="P158" s="9"/>
      <c r="Q158" s="9"/>
      <c r="R158" s="9"/>
      <c r="S158" s="10"/>
      <c r="T158" s="10"/>
      <c r="U158" s="10"/>
    </row>
    <row r="159" ht="12.75">
      <c r="G159" s="2"/>
    </row>
    <row r="160" ht="12.75">
      <c r="G160" s="2"/>
    </row>
    <row r="161" ht="12.75">
      <c r="G161" s="2"/>
    </row>
    <row r="162" ht="12.75">
      <c r="G162" s="2"/>
    </row>
    <row r="163" ht="12.75">
      <c r="G163" s="2"/>
    </row>
    <row r="164" ht="12.75">
      <c r="G164" s="2"/>
    </row>
    <row r="165" ht="12.75">
      <c r="G165" s="2"/>
    </row>
    <row r="166" ht="12.75">
      <c r="G166" s="2"/>
    </row>
    <row r="167" ht="12.75">
      <c r="G167" s="2"/>
    </row>
    <row r="168" ht="12.75">
      <c r="G168" s="2"/>
    </row>
    <row r="169" ht="12.75">
      <c r="G169" s="2"/>
    </row>
    <row r="170" ht="12.75">
      <c r="G170" s="2"/>
    </row>
    <row r="171" ht="12.75">
      <c r="G171" s="2"/>
    </row>
    <row r="172" ht="12.75">
      <c r="G172" s="2"/>
    </row>
    <row r="173" ht="12.75">
      <c r="G173" s="2"/>
    </row>
    <row r="174" ht="12.75">
      <c r="G174" s="2"/>
    </row>
    <row r="175" ht="12.75">
      <c r="G175" s="2"/>
    </row>
    <row r="176" ht="12.75">
      <c r="G176" s="2"/>
    </row>
    <row r="177" ht="12.75">
      <c r="G177" s="2"/>
    </row>
    <row r="178" ht="12.75">
      <c r="G178" s="2"/>
    </row>
    <row r="179" ht="12.75">
      <c r="G179" s="2"/>
    </row>
    <row r="180" ht="12.75">
      <c r="G180" s="2"/>
    </row>
    <row r="181" ht="12.75">
      <c r="G181" s="2"/>
    </row>
    <row r="182" ht="12.75">
      <c r="G182" s="2"/>
    </row>
    <row r="183" ht="12.75">
      <c r="G183" s="2"/>
    </row>
    <row r="184" ht="12.75">
      <c r="G184" s="2"/>
    </row>
    <row r="185" ht="12.75">
      <c r="G185" s="2"/>
    </row>
    <row r="186" ht="12.75">
      <c r="G186" s="2"/>
    </row>
    <row r="187" ht="12.75">
      <c r="G187" s="2"/>
    </row>
    <row r="188" ht="12.75">
      <c r="G188" s="2"/>
    </row>
    <row r="189" ht="12.75">
      <c r="G189" s="2"/>
    </row>
    <row r="190" ht="12.75">
      <c r="G190" s="2"/>
    </row>
    <row r="191" spans="2:7" ht="12.75">
      <c r="B191" s="6"/>
      <c r="D191" s="6"/>
      <c r="G191" s="2"/>
    </row>
    <row r="192" spans="1:21" ht="12.75">
      <c r="A192" s="6"/>
      <c r="B192" s="6"/>
      <c r="C192" s="6"/>
      <c r="D192" s="6"/>
      <c r="E192" s="6"/>
      <c r="F192" s="6"/>
      <c r="G192" s="14"/>
      <c r="H192" s="9"/>
      <c r="I192" s="9"/>
      <c r="J192" s="9"/>
      <c r="K192" s="9"/>
      <c r="L192" s="9"/>
      <c r="M192" s="9"/>
      <c r="N192" s="9"/>
      <c r="O192" s="9"/>
      <c r="P192" s="9"/>
      <c r="Q192" s="9"/>
      <c r="R192" s="9"/>
      <c r="S192" s="10"/>
      <c r="T192" s="9"/>
      <c r="U192" s="10"/>
    </row>
    <row r="193" spans="1:21" ht="12.75">
      <c r="A193" s="6"/>
      <c r="B193" s="6"/>
      <c r="C193" s="6"/>
      <c r="D193" s="6"/>
      <c r="E193" s="6"/>
      <c r="F193" s="6"/>
      <c r="G193" s="14"/>
      <c r="H193" s="9"/>
      <c r="I193" s="9"/>
      <c r="J193" s="9"/>
      <c r="K193" s="9"/>
      <c r="L193" s="9"/>
      <c r="M193" s="9"/>
      <c r="N193" s="9"/>
      <c r="O193" s="9"/>
      <c r="P193" s="9"/>
      <c r="Q193" s="9"/>
      <c r="R193" s="9"/>
      <c r="S193" s="10"/>
      <c r="T193" s="9"/>
      <c r="U193" s="10"/>
    </row>
    <row r="194" spans="1:21" ht="12.75">
      <c r="A194" s="6"/>
      <c r="B194" s="6"/>
      <c r="C194" s="6"/>
      <c r="D194" s="6"/>
      <c r="E194" s="6"/>
      <c r="F194" s="6"/>
      <c r="G194" s="14"/>
      <c r="H194" s="9"/>
      <c r="I194" s="9"/>
      <c r="J194" s="9"/>
      <c r="K194" s="9"/>
      <c r="L194" s="9"/>
      <c r="M194" s="9"/>
      <c r="N194" s="9"/>
      <c r="O194" s="9"/>
      <c r="P194" s="9"/>
      <c r="Q194" s="9"/>
      <c r="R194" s="9"/>
      <c r="S194" s="10"/>
      <c r="T194" s="9"/>
      <c r="U194" s="10"/>
    </row>
    <row r="195" spans="1:21" ht="12.75">
      <c r="A195" s="6"/>
      <c r="B195" s="6"/>
      <c r="C195" s="6"/>
      <c r="D195" s="6"/>
      <c r="E195" s="6"/>
      <c r="F195" s="6"/>
      <c r="G195" s="14"/>
      <c r="H195" s="9"/>
      <c r="I195" s="9"/>
      <c r="J195" s="9"/>
      <c r="K195" s="9"/>
      <c r="L195" s="9"/>
      <c r="M195" s="9"/>
      <c r="N195" s="9"/>
      <c r="O195" s="9"/>
      <c r="P195" s="9"/>
      <c r="Q195" s="9"/>
      <c r="R195" s="9"/>
      <c r="S195" s="10"/>
      <c r="T195" s="9"/>
      <c r="U195" s="10"/>
    </row>
    <row r="196" spans="1:21" ht="12.75">
      <c r="A196" s="6"/>
      <c r="B196" s="6"/>
      <c r="C196" s="6"/>
      <c r="D196" s="6"/>
      <c r="E196" s="6"/>
      <c r="F196" s="6"/>
      <c r="G196" s="14"/>
      <c r="H196" s="9"/>
      <c r="I196" s="9"/>
      <c r="J196" s="9"/>
      <c r="K196" s="9"/>
      <c r="L196" s="9"/>
      <c r="M196" s="9"/>
      <c r="N196" s="9"/>
      <c r="O196" s="9"/>
      <c r="P196" s="9"/>
      <c r="Q196" s="9"/>
      <c r="R196" s="9"/>
      <c r="S196" s="10"/>
      <c r="T196" s="9"/>
      <c r="U196" s="10"/>
    </row>
    <row r="197" spans="1:21" ht="12.75">
      <c r="A197" s="6"/>
      <c r="B197" s="6"/>
      <c r="C197" s="6"/>
      <c r="D197" s="6"/>
      <c r="E197" s="6"/>
      <c r="F197" s="6"/>
      <c r="G197" s="14"/>
      <c r="H197" s="9"/>
      <c r="I197" s="9"/>
      <c r="J197" s="9"/>
      <c r="K197" s="9"/>
      <c r="L197" s="9"/>
      <c r="M197" s="9"/>
      <c r="N197" s="9"/>
      <c r="O197" s="9"/>
      <c r="P197" s="9"/>
      <c r="Q197" s="9"/>
      <c r="R197" s="9"/>
      <c r="S197" s="10"/>
      <c r="T197" s="9"/>
      <c r="U197" s="10"/>
    </row>
    <row r="198" spans="1:21" ht="12.75">
      <c r="A198" s="6"/>
      <c r="C198" s="6"/>
      <c r="E198" s="6"/>
      <c r="F198" s="6"/>
      <c r="G198" s="14"/>
      <c r="H198" s="9"/>
      <c r="I198" s="9"/>
      <c r="J198" s="9"/>
      <c r="K198" s="9"/>
      <c r="L198" s="9"/>
      <c r="M198" s="9"/>
      <c r="N198" s="9"/>
      <c r="O198" s="9"/>
      <c r="P198" s="9"/>
      <c r="Q198" s="9"/>
      <c r="R198" s="9"/>
      <c r="S198" s="10"/>
      <c r="T198" s="9"/>
      <c r="U198" s="10"/>
    </row>
  </sheetData>
  <sheetProtection/>
  <conditionalFormatting sqref="E3:E33">
    <cfRule type="cellIs" priority="1" dxfId="1" operator="equal" stopIfTrue="1">
      <formula>$C$37</formula>
    </cfRule>
  </conditionalFormatting>
  <conditionalFormatting sqref="D10">
    <cfRule type="expression" priority="2" dxfId="16" stopIfTrue="1">
      <formula>$D$36=14</formula>
    </cfRule>
  </conditionalFormatting>
  <conditionalFormatting sqref="D11">
    <cfRule type="expression" priority="3" dxfId="16" stopIfTrue="1">
      <formula>$D$36=3</formula>
    </cfRule>
  </conditionalFormatting>
  <conditionalFormatting sqref="D13:D14">
    <cfRule type="expression" priority="4" dxfId="16" stopIfTrue="1">
      <formula>$D$36=11</formula>
    </cfRule>
  </conditionalFormatting>
  <conditionalFormatting sqref="D15">
    <cfRule type="expression" priority="5" dxfId="16" stopIfTrue="1">
      <formula>$D$36=19</formula>
    </cfRule>
  </conditionalFormatting>
  <conditionalFormatting sqref="D16">
    <cfRule type="expression" priority="6" dxfId="16" stopIfTrue="1">
      <formula>$D$36=8</formula>
    </cfRule>
  </conditionalFormatting>
  <conditionalFormatting sqref="D18">
    <cfRule type="expression" priority="7" dxfId="16" stopIfTrue="1">
      <formula>$D$36=16</formula>
    </cfRule>
  </conditionalFormatting>
  <conditionalFormatting sqref="D19">
    <cfRule type="expression" priority="8" dxfId="16" stopIfTrue="1">
      <formula>$D$36=5</formula>
    </cfRule>
  </conditionalFormatting>
  <conditionalFormatting sqref="D21">
    <cfRule type="expression" priority="9" dxfId="16" stopIfTrue="1">
      <formula>$D$36=13</formula>
    </cfRule>
  </conditionalFormatting>
  <conditionalFormatting sqref="D26">
    <cfRule type="expression" priority="10" dxfId="16" stopIfTrue="1">
      <formula>$D$36=18</formula>
    </cfRule>
  </conditionalFormatting>
  <conditionalFormatting sqref="D24">
    <cfRule type="expression" priority="11" dxfId="16" stopIfTrue="1">
      <formula>$D$36=10</formula>
    </cfRule>
    <cfRule type="expression" priority="12" dxfId="52" stopIfTrue="1">
      <formula>$D$36=14</formula>
    </cfRule>
  </conditionalFormatting>
  <conditionalFormatting sqref="D25">
    <cfRule type="expression" priority="13" dxfId="52" stopIfTrue="1">
      <formula>$D$36=3</formula>
    </cfRule>
  </conditionalFormatting>
  <conditionalFormatting sqref="D27">
    <cfRule type="expression" priority="14" dxfId="16" stopIfTrue="1">
      <formula>$D$36=7</formula>
    </cfRule>
    <cfRule type="expression" priority="15" dxfId="52" stopIfTrue="1">
      <formula>$D$36=11</formula>
    </cfRule>
  </conditionalFormatting>
  <conditionalFormatting sqref="D29">
    <cfRule type="expression" priority="16" dxfId="16" stopIfTrue="1">
      <formula>$D$36=15</formula>
    </cfRule>
    <cfRule type="expression" priority="17" dxfId="52" stopIfTrue="1">
      <formula>$D$36=19</formula>
    </cfRule>
  </conditionalFormatting>
  <conditionalFormatting sqref="D32">
    <cfRule type="expression" priority="18" dxfId="16" stopIfTrue="1">
      <formula>$D$36=12</formula>
    </cfRule>
    <cfRule type="expression" priority="19" dxfId="52" stopIfTrue="1">
      <formula>$D$36=16</formula>
    </cfRule>
  </conditionalFormatting>
  <conditionalFormatting sqref="D33">
    <cfRule type="expression" priority="20" dxfId="16" stopIfTrue="1">
      <formula>$D$36=1</formula>
    </cfRule>
    <cfRule type="expression" priority="21" dxfId="52" stopIfTrue="1">
      <formula>$D$36=5</formula>
    </cfRule>
  </conditionalFormatting>
  <conditionalFormatting sqref="D30">
    <cfRule type="expression" priority="22" dxfId="52" stopIfTrue="1">
      <formula>$D$36=8</formula>
    </cfRule>
    <cfRule type="expression" priority="23" dxfId="26" stopIfTrue="1">
      <formula>$D$36=4</formula>
    </cfRule>
  </conditionalFormatting>
  <conditionalFormatting sqref="D22">
    <cfRule type="expression" priority="24" dxfId="16" stopIfTrue="1">
      <formula>$D$36=2</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U165"/>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179</v>
      </c>
      <c r="B1" s="118"/>
      <c r="C1" s="123"/>
      <c r="D1" s="119" t="str">
        <f>ROMAN(Location!$B$6)</f>
        <v>MMIX</v>
      </c>
      <c r="E1" s="118"/>
      <c r="F1" s="118"/>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3"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6" t="str">
        <f>Martius!B27</f>
        <v>Wednesday</v>
      </c>
      <c r="C3" s="59"/>
      <c r="D3" s="26"/>
      <c r="E3" s="8" t="s">
        <v>36</v>
      </c>
      <c r="F3" s="6" t="s">
        <v>18</v>
      </c>
      <c r="G3" s="83"/>
      <c r="H3" s="9">
        <f aca="true" t="shared" si="0" ref="H3:H32">(T3/2)+Q3-"12:00:00"</f>
        <v>12.05871582625998</v>
      </c>
      <c r="I3" s="9">
        <f aca="true" t="shared" si="1" ref="I3:I32">H3+((J3-H3)/2)</f>
        <v>6.178607244917086</v>
      </c>
      <c r="J3" s="9">
        <f aca="true" t="shared" si="2" ref="J3:J32">P3</f>
        <v>0.29849866357419075</v>
      </c>
      <c r="K3" s="9">
        <f aca="true" t="shared" si="3" ref="K3:K32">J3+((L3-J3)/2)</f>
        <v>0.42860724491708596</v>
      </c>
      <c r="L3" s="9">
        <f aca="true" t="shared" si="4" ref="L3:L32">(R3/2)+J3</f>
        <v>0.5587158262599812</v>
      </c>
      <c r="M3" s="9">
        <f aca="true" t="shared" si="5" ref="M3:M32">((N3-L3)/2)+L3</f>
        <v>0.6888244076028764</v>
      </c>
      <c r="N3" s="9">
        <f aca="true" t="shared" si="6" ref="N3:N32">Q3</f>
        <v>0.8189329889457716</v>
      </c>
      <c r="O3" s="9">
        <f aca="true" t="shared" si="7" ref="O3:O32">3*U3+N3</f>
        <v>0.9388244076028764</v>
      </c>
      <c r="P3" s="9">
        <f>sunrise(Location!$B$4,Location!$B$5,Location!$B$6,4,A3,Location!$B$7,IF(Location!$B$8="No",0,1))</f>
        <v>0.29849866357419075</v>
      </c>
      <c r="Q3" s="9">
        <f>sunset(Location!$B$4,Location!$B$5,Location!$B$6,4,A3,Location!$B$7,IF(Location!$B$8="No",0,1))</f>
        <v>0.8189329889457716</v>
      </c>
      <c r="R3" s="9">
        <f aca="true" t="shared" si="8" ref="R3:R32">Q3-P3</f>
        <v>0.5204343253715809</v>
      </c>
      <c r="S3" s="10">
        <f aca="true" t="shared" si="9" ref="S3:S32">R3/12</f>
        <v>0.0433695271142984</v>
      </c>
      <c r="T3" s="9">
        <f aca="true" t="shared" si="10" ref="T3:T32">(24-(Q3-P3))</f>
        <v>23.479565674628418</v>
      </c>
      <c r="U3" s="10">
        <f aca="true" t="shared" si="11" ref="U3:U32">"1:00:00"-S3+"1:00:00"</f>
        <v>0.03996380621903493</v>
      </c>
    </row>
    <row r="4" spans="1:21" ht="12.75">
      <c r="A4" s="5">
        <v>2</v>
      </c>
      <c r="B4" s="6" t="str">
        <f>Martius!B28</f>
        <v>Thursday</v>
      </c>
      <c r="C4" s="59"/>
      <c r="D4" s="26" t="s">
        <v>64</v>
      </c>
      <c r="E4" s="8" t="s">
        <v>17</v>
      </c>
      <c r="F4" s="6" t="s">
        <v>93</v>
      </c>
      <c r="G4" s="83"/>
      <c r="H4" s="9">
        <f t="shared" si="0"/>
        <v>12.058511356071476</v>
      </c>
      <c r="I4" s="9">
        <f t="shared" si="1"/>
        <v>6.178096038051342</v>
      </c>
      <c r="J4" s="9">
        <f t="shared" si="2"/>
        <v>0.2976807200312078</v>
      </c>
      <c r="K4" s="9">
        <f t="shared" si="3"/>
        <v>0.42809603805134155</v>
      </c>
      <c r="L4" s="9">
        <f t="shared" si="4"/>
        <v>0.5585113560714753</v>
      </c>
      <c r="M4" s="9">
        <f t="shared" si="5"/>
        <v>0.688926674091609</v>
      </c>
      <c r="N4" s="9">
        <f t="shared" si="6"/>
        <v>0.8193419921117427</v>
      </c>
      <c r="O4" s="9">
        <f t="shared" si="7"/>
        <v>0.938926674091609</v>
      </c>
      <c r="P4" s="9">
        <f>sunrise(Location!$B$4,Location!$B$5,Location!$B$6,4,A4,Location!$B$7,IF(Location!$B$8="No",0,1))</f>
        <v>0.2976807200312078</v>
      </c>
      <c r="Q4" s="9">
        <f>sunset(Location!$B$4,Location!$B$5,Location!$B$6,4,A4,Location!$B$7,IF(Location!$B$8="No",0,1))</f>
        <v>0.8193419921117427</v>
      </c>
      <c r="R4" s="9">
        <f t="shared" si="8"/>
        <v>0.5216612720805349</v>
      </c>
      <c r="S4" s="10">
        <f t="shared" si="9"/>
        <v>0.04347177267337791</v>
      </c>
      <c r="T4" s="9">
        <f t="shared" si="10"/>
        <v>23.478338727919464</v>
      </c>
      <c r="U4" s="10">
        <f t="shared" si="11"/>
        <v>0.03986156065995542</v>
      </c>
    </row>
    <row r="5" spans="1:21" ht="12.75">
      <c r="A5" s="5">
        <v>3</v>
      </c>
      <c r="B5" s="6" t="str">
        <f>Martius!B29</f>
        <v>Friday</v>
      </c>
      <c r="C5" s="98"/>
      <c r="D5" s="25" t="s">
        <v>67</v>
      </c>
      <c r="E5" s="8" t="s">
        <v>21</v>
      </c>
      <c r="F5" s="6" t="s">
        <v>94</v>
      </c>
      <c r="G5" s="48" t="s">
        <v>121</v>
      </c>
      <c r="H5" s="9">
        <f t="shared" si="0"/>
        <v>12.058308516742677</v>
      </c>
      <c r="I5" s="9">
        <f t="shared" si="1"/>
        <v>6.177587140188945</v>
      </c>
      <c r="J5" s="9">
        <f t="shared" si="2"/>
        <v>0.2968657636352128</v>
      </c>
      <c r="K5" s="9">
        <f t="shared" si="3"/>
        <v>0.42758714018894517</v>
      </c>
      <c r="L5" s="9">
        <f t="shared" si="4"/>
        <v>0.5583085167426776</v>
      </c>
      <c r="M5" s="9">
        <f t="shared" si="5"/>
        <v>0.68902989329641</v>
      </c>
      <c r="N5" s="9">
        <f t="shared" si="6"/>
        <v>0.8197512698501424</v>
      </c>
      <c r="O5" s="9">
        <f t="shared" si="7"/>
        <v>0.93902989329641</v>
      </c>
      <c r="P5" s="9">
        <f>sunrise(Location!$B$4,Location!$B$5,Location!$B$6,4,A5,Location!$B$7,IF(Location!$B$8="No",0,1))</f>
        <v>0.2968657636352128</v>
      </c>
      <c r="Q5" s="9">
        <f>sunset(Location!$B$4,Location!$B$5,Location!$B$6,4,A5,Location!$B$7,IF(Location!$B$8="No",0,1))</f>
        <v>0.8197512698501424</v>
      </c>
      <c r="R5" s="9">
        <f t="shared" si="8"/>
        <v>0.5228855062149296</v>
      </c>
      <c r="S5" s="10">
        <f t="shared" si="9"/>
        <v>0.043573792184577465</v>
      </c>
      <c r="T5" s="9">
        <f t="shared" si="10"/>
        <v>23.47711449378507</v>
      </c>
      <c r="U5" s="10">
        <f t="shared" si="11"/>
        <v>0.039759541148755864</v>
      </c>
    </row>
    <row r="6" spans="1:21" ht="12.75">
      <c r="A6" s="5">
        <v>4</v>
      </c>
      <c r="B6" s="6" t="str">
        <f>Martius!B30</f>
        <v>Saturday</v>
      </c>
      <c r="C6" s="97"/>
      <c r="D6" s="25" t="s">
        <v>69</v>
      </c>
      <c r="E6" s="8" t="s">
        <v>24</v>
      </c>
      <c r="F6" s="6" t="s">
        <v>27</v>
      </c>
      <c r="G6" s="83"/>
      <c r="H6" s="9">
        <f t="shared" si="0"/>
        <v>12.058107519794294</v>
      </c>
      <c r="I6" s="9">
        <f t="shared" si="1"/>
        <v>6.177080813217197</v>
      </c>
      <c r="J6" s="9">
        <f t="shared" si="2"/>
        <v>0.29605410664009885</v>
      </c>
      <c r="K6" s="9">
        <f t="shared" si="3"/>
        <v>0.42708081321719715</v>
      </c>
      <c r="L6" s="9">
        <f t="shared" si="4"/>
        <v>0.5581075197942955</v>
      </c>
      <c r="M6" s="9">
        <f t="shared" si="5"/>
        <v>0.6891342263713938</v>
      </c>
      <c r="N6" s="9">
        <f t="shared" si="6"/>
        <v>0.8201609329484921</v>
      </c>
      <c r="O6" s="9">
        <f t="shared" si="7"/>
        <v>0.9391342263713938</v>
      </c>
      <c r="P6" s="9">
        <f>sunrise(Location!$B$4,Location!$B$5,Location!$B$6,4,A6,Location!$B$7,IF(Location!$B$8="No",0,1))</f>
        <v>0.29605410664009885</v>
      </c>
      <c r="Q6" s="9">
        <f>sunset(Location!$B$4,Location!$B$5,Location!$B$6,4,A6,Location!$B$7,IF(Location!$B$8="No",0,1))</f>
        <v>0.8201609329484921</v>
      </c>
      <c r="R6" s="9">
        <f t="shared" si="8"/>
        <v>0.5241068263083932</v>
      </c>
      <c r="S6" s="10">
        <f t="shared" si="9"/>
        <v>0.043675568859032766</v>
      </c>
      <c r="T6" s="9">
        <f t="shared" si="10"/>
        <v>23.475893173691606</v>
      </c>
      <c r="U6" s="10">
        <f t="shared" si="11"/>
        <v>0.03965776447430056</v>
      </c>
    </row>
    <row r="7" spans="1:21" ht="12.75">
      <c r="A7" s="5">
        <v>5</v>
      </c>
      <c r="B7" s="6" t="str">
        <f>Martius!B31</f>
        <v>Sunday</v>
      </c>
      <c r="C7" s="97"/>
      <c r="D7" s="17"/>
      <c r="E7" s="8" t="s">
        <v>26</v>
      </c>
      <c r="F7" s="6" t="s">
        <v>30</v>
      </c>
      <c r="G7" s="127" t="s">
        <v>158</v>
      </c>
      <c r="H7" s="9">
        <f t="shared" si="0"/>
        <v>12.057908574194583</v>
      </c>
      <c r="I7" s="9">
        <f t="shared" si="1"/>
        <v>6.176577317403983</v>
      </c>
      <c r="J7" s="9">
        <f t="shared" si="2"/>
        <v>0.29524606061338254</v>
      </c>
      <c r="K7" s="9">
        <f t="shared" si="3"/>
        <v>0.42657731740398297</v>
      </c>
      <c r="L7" s="9">
        <f t="shared" si="4"/>
        <v>0.5579085741945834</v>
      </c>
      <c r="M7" s="9">
        <f t="shared" si="5"/>
        <v>0.6892398309851838</v>
      </c>
      <c r="N7" s="9">
        <f t="shared" si="6"/>
        <v>0.8205710877757842</v>
      </c>
      <c r="O7" s="9">
        <f t="shared" si="7"/>
        <v>0.9392398309851838</v>
      </c>
      <c r="P7" s="9">
        <f>sunrise(Location!$B$4,Location!$B$5,Location!$B$6,4,A7,Location!$B$7,IF(Location!$B$8="No",0,1))</f>
        <v>0.29524606061338254</v>
      </c>
      <c r="Q7" s="9">
        <f>sunset(Location!$B$4,Location!$B$5,Location!$B$6,4,A7,Location!$B$7,IF(Location!$B$8="No",0,1))</f>
        <v>0.8205710877757842</v>
      </c>
      <c r="R7" s="9">
        <f t="shared" si="8"/>
        <v>0.5253250271624017</v>
      </c>
      <c r="S7" s="10">
        <f t="shared" si="9"/>
        <v>0.043777085596866806</v>
      </c>
      <c r="T7" s="9">
        <f t="shared" si="10"/>
        <v>23.474674972837597</v>
      </c>
      <c r="U7" s="10">
        <f t="shared" si="11"/>
        <v>0.03955624773646652</v>
      </c>
    </row>
    <row r="8" spans="1:21" ht="12.75">
      <c r="A8" s="5">
        <v>6</v>
      </c>
      <c r="B8" s="6" t="str">
        <f>Martius!B32</f>
        <v>Monday</v>
      </c>
      <c r="C8" s="59"/>
      <c r="D8" s="17" t="s">
        <v>72</v>
      </c>
      <c r="E8" s="8" t="s">
        <v>29</v>
      </c>
      <c r="F8" s="6" t="s">
        <v>95</v>
      </c>
      <c r="G8" s="127" t="s">
        <v>278</v>
      </c>
      <c r="H8" s="9">
        <f t="shared" si="0"/>
        <v>12.05771188623756</v>
      </c>
      <c r="I8" s="9">
        <f t="shared" si="1"/>
        <v>6.176076911342411</v>
      </c>
      <c r="J8" s="9">
        <f t="shared" si="2"/>
        <v>0.2944419364472633</v>
      </c>
      <c r="K8" s="9">
        <f t="shared" si="3"/>
        <v>0.4260769113424111</v>
      </c>
      <c r="L8" s="9">
        <f t="shared" si="4"/>
        <v>0.557711886237559</v>
      </c>
      <c r="M8" s="9">
        <f t="shared" si="5"/>
        <v>0.6893468611327067</v>
      </c>
      <c r="N8" s="9">
        <f t="shared" si="6"/>
        <v>0.8209818360278546</v>
      </c>
      <c r="O8" s="9">
        <f t="shared" si="7"/>
        <v>0.9393468611327067</v>
      </c>
      <c r="P8" s="9">
        <f>sunrise(Location!$B$4,Location!$B$5,Location!$B$6,4,A8,Location!$B$7,IF(Location!$B$8="No",0,1))</f>
        <v>0.2944419364472633</v>
      </c>
      <c r="Q8" s="9">
        <f>sunset(Location!$B$4,Location!$B$5,Location!$B$6,4,A8,Location!$B$7,IF(Location!$B$8="No",0,1))</f>
        <v>0.8209818360278546</v>
      </c>
      <c r="R8" s="9">
        <f t="shared" si="8"/>
        <v>0.5265398995805912</v>
      </c>
      <c r="S8" s="10">
        <f t="shared" si="9"/>
        <v>0.043878324965049266</v>
      </c>
      <c r="T8" s="9">
        <f t="shared" si="10"/>
        <v>23.47346010041941</v>
      </c>
      <c r="U8" s="10">
        <f t="shared" si="11"/>
        <v>0.03945500836828406</v>
      </c>
    </row>
    <row r="9" spans="1:21" ht="12.75">
      <c r="A9" s="5">
        <v>7</v>
      </c>
      <c r="B9" s="6" t="str">
        <f>Martius!B33</f>
        <v>Tuesday</v>
      </c>
      <c r="C9" s="59"/>
      <c r="D9" s="17" t="s">
        <v>75</v>
      </c>
      <c r="E9" s="8" t="s">
        <v>32</v>
      </c>
      <c r="F9" s="6" t="s">
        <v>96</v>
      </c>
      <c r="G9" s="127" t="s">
        <v>279</v>
      </c>
      <c r="H9" s="9">
        <f t="shared" si="0"/>
        <v>12.057517659419789</v>
      </c>
      <c r="I9" s="9">
        <f t="shared" si="1"/>
        <v>6.17557985189328</v>
      </c>
      <c r="J9" s="9">
        <f t="shared" si="2"/>
        <v>0.29364204436677155</v>
      </c>
      <c r="K9" s="9">
        <f t="shared" si="3"/>
        <v>0.4255798518932796</v>
      </c>
      <c r="L9" s="9">
        <f t="shared" si="4"/>
        <v>0.5575176594197877</v>
      </c>
      <c r="M9" s="9">
        <f t="shared" si="5"/>
        <v>0.6894554669462958</v>
      </c>
      <c r="N9" s="9">
        <f t="shared" si="6"/>
        <v>0.8213932744728037</v>
      </c>
      <c r="O9" s="9">
        <f t="shared" si="7"/>
        <v>0.9394554669462957</v>
      </c>
      <c r="P9" s="9">
        <f>sunrise(Location!$B$4,Location!$B$5,Location!$B$6,4,A9,Location!$B$7,IF(Location!$B$8="No",0,1))</f>
        <v>0.29364204436677155</v>
      </c>
      <c r="Q9" s="9">
        <f>sunset(Location!$B$4,Location!$B$5,Location!$B$6,4,A9,Location!$B$7,IF(Location!$B$8="No",0,1))</f>
        <v>0.8213932744728037</v>
      </c>
      <c r="R9" s="9">
        <f t="shared" si="8"/>
        <v>0.5277512301060322</v>
      </c>
      <c r="S9" s="10">
        <f t="shared" si="9"/>
        <v>0.04397926917550268</v>
      </c>
      <c r="T9" s="9">
        <f t="shared" si="10"/>
        <v>23.47224876989397</v>
      </c>
      <c r="U9" s="10">
        <f t="shared" si="11"/>
        <v>0.039354064157830645</v>
      </c>
    </row>
    <row r="10" spans="1:21" ht="12.75">
      <c r="A10" s="5">
        <v>8</v>
      </c>
      <c r="B10" s="6" t="str">
        <f aca="true" t="shared" si="12" ref="B10:B16">B3</f>
        <v>Wednesday</v>
      </c>
      <c r="C10" s="59"/>
      <c r="D10" s="17"/>
      <c r="E10" s="8" t="s">
        <v>36</v>
      </c>
      <c r="F10" s="6" t="s">
        <v>97</v>
      </c>
      <c r="G10" s="127" t="s">
        <v>280</v>
      </c>
      <c r="H10" s="9">
        <f t="shared" si="0"/>
        <v>12.057326094311044</v>
      </c>
      <c r="I10" s="9">
        <f t="shared" si="1"/>
        <v>6.175086394118392</v>
      </c>
      <c r="J10" s="9">
        <f t="shared" si="2"/>
        <v>0.2928466939257415</v>
      </c>
      <c r="K10" s="9">
        <f t="shared" si="3"/>
        <v>0.42508639411839244</v>
      </c>
      <c r="L10" s="9">
        <f t="shared" si="4"/>
        <v>0.5573260943110434</v>
      </c>
      <c r="M10" s="9">
        <f t="shared" si="5"/>
        <v>0.6895657945036944</v>
      </c>
      <c r="N10" s="9">
        <f t="shared" si="6"/>
        <v>0.8218054946963455</v>
      </c>
      <c r="O10" s="9">
        <f t="shared" si="7"/>
        <v>0.9395657945036945</v>
      </c>
      <c r="P10" s="9">
        <f>sunrise(Location!$B$4,Location!$B$5,Location!$B$6,4,A10,Location!$B$7,IF(Location!$B$8="No",0,1))</f>
        <v>0.2928466939257415</v>
      </c>
      <c r="Q10" s="9">
        <f>sunset(Location!$B$4,Location!$B$5,Location!$B$6,4,A10,Location!$B$7,IF(Location!$B$8="No",0,1))</f>
        <v>0.8218054946963455</v>
      </c>
      <c r="R10" s="9">
        <f t="shared" si="8"/>
        <v>0.528958800770604</v>
      </c>
      <c r="S10" s="10">
        <f t="shared" si="9"/>
        <v>0.044079900064217</v>
      </c>
      <c r="T10" s="9">
        <f t="shared" si="10"/>
        <v>23.471041199229397</v>
      </c>
      <c r="U10" s="10">
        <f t="shared" si="11"/>
        <v>0.03925343326911633</v>
      </c>
    </row>
    <row r="11" spans="1:21" ht="12.75">
      <c r="A11" s="5">
        <v>9</v>
      </c>
      <c r="B11" s="6" t="str">
        <f t="shared" si="12"/>
        <v>Thursday</v>
      </c>
      <c r="C11" s="59"/>
      <c r="D11" s="17" t="s">
        <v>20</v>
      </c>
      <c r="E11" s="8" t="s">
        <v>17</v>
      </c>
      <c r="F11" s="6" t="s">
        <v>98</v>
      </c>
      <c r="G11" s="127" t="s">
        <v>201</v>
      </c>
      <c r="H11" s="9">
        <f t="shared" si="0"/>
        <v>12.05713738842234</v>
      </c>
      <c r="I11" s="9">
        <f t="shared" si="1"/>
        <v>6.174596791211061</v>
      </c>
      <c r="J11" s="9">
        <f t="shared" si="2"/>
        <v>0.2920561939997827</v>
      </c>
      <c r="K11" s="9">
        <f t="shared" si="3"/>
        <v>0.4245967912110613</v>
      </c>
      <c r="L11" s="9">
        <f t="shared" si="4"/>
        <v>0.5571373884223398</v>
      </c>
      <c r="M11" s="9">
        <f t="shared" si="5"/>
        <v>0.6896779856336184</v>
      </c>
      <c r="N11" s="9">
        <f t="shared" si="6"/>
        <v>0.8222185828448968</v>
      </c>
      <c r="O11" s="9">
        <f t="shared" si="7"/>
        <v>0.9396779856336183</v>
      </c>
      <c r="P11" s="9">
        <f>sunrise(Location!$B$4,Location!$B$5,Location!$B$6,4,A11,Location!$B$7,IF(Location!$B$8="No",0,1))</f>
        <v>0.2920561939997827</v>
      </c>
      <c r="Q11" s="9">
        <f>sunset(Location!$B$4,Location!$B$5,Location!$B$6,4,A11,Location!$B$7,IF(Location!$B$8="No",0,1))</f>
        <v>0.8222185828448968</v>
      </c>
      <c r="R11" s="9">
        <f t="shared" si="8"/>
        <v>0.5301623888451141</v>
      </c>
      <c r="S11" s="10">
        <f t="shared" si="9"/>
        <v>0.044180199070426175</v>
      </c>
      <c r="T11" s="9">
        <f t="shared" si="10"/>
        <v>23.469837611154887</v>
      </c>
      <c r="U11" s="10">
        <f t="shared" si="11"/>
        <v>0.039153134262907154</v>
      </c>
    </row>
    <row r="12" spans="1:21" ht="12.75">
      <c r="A12" s="5">
        <v>10</v>
      </c>
      <c r="B12" s="6" t="str">
        <f t="shared" si="12"/>
        <v>Friday</v>
      </c>
      <c r="C12" s="59"/>
      <c r="D12" s="17"/>
      <c r="E12" s="8" t="s">
        <v>21</v>
      </c>
      <c r="F12" s="6" t="s">
        <v>99</v>
      </c>
      <c r="G12" s="132" t="s">
        <v>124</v>
      </c>
      <c r="H12" s="9">
        <f t="shared" si="0"/>
        <v>12.056951736068195</v>
      </c>
      <c r="I12" s="9">
        <f t="shared" si="1"/>
        <v>6.174111294417646</v>
      </c>
      <c r="J12" s="9">
        <f t="shared" si="2"/>
        <v>0.29127085276709597</v>
      </c>
      <c r="K12" s="9">
        <f t="shared" si="3"/>
        <v>0.42411129441764533</v>
      </c>
      <c r="L12" s="9">
        <f t="shared" si="4"/>
        <v>0.5569517360681947</v>
      </c>
      <c r="M12" s="9">
        <f t="shared" si="5"/>
        <v>0.6897921777187441</v>
      </c>
      <c r="N12" s="9">
        <f t="shared" si="6"/>
        <v>0.8226326193692934</v>
      </c>
      <c r="O12" s="9">
        <f t="shared" si="7"/>
        <v>0.9397921777187441</v>
      </c>
      <c r="P12" s="9">
        <f>sunrise(Location!$B$4,Location!$B$5,Location!$B$6,4,A12,Location!$B$7,IF(Location!$B$8="No",0,1))</f>
        <v>0.29127085276709597</v>
      </c>
      <c r="Q12" s="9">
        <f>sunset(Location!$B$4,Location!$B$5,Location!$B$6,4,A12,Location!$B$7,IF(Location!$B$8="No",0,1))</f>
        <v>0.8226326193692934</v>
      </c>
      <c r="R12" s="9">
        <f t="shared" si="8"/>
        <v>0.5313617666021975</v>
      </c>
      <c r="S12" s="10">
        <f t="shared" si="9"/>
        <v>0.04428014721684979</v>
      </c>
      <c r="T12" s="9">
        <f t="shared" si="10"/>
        <v>23.4686382333978</v>
      </c>
      <c r="U12" s="10">
        <f t="shared" si="11"/>
        <v>0.03905318611648354</v>
      </c>
    </row>
    <row r="13" spans="1:21" ht="12.75">
      <c r="A13" s="5">
        <v>11</v>
      </c>
      <c r="B13" s="6" t="str">
        <f t="shared" si="12"/>
        <v>Saturday</v>
      </c>
      <c r="C13" s="59"/>
      <c r="D13" s="17" t="s">
        <v>23</v>
      </c>
      <c r="E13" s="8" t="s">
        <v>24</v>
      </c>
      <c r="F13" s="6" t="s">
        <v>101</v>
      </c>
      <c r="G13" s="127" t="s">
        <v>281</v>
      </c>
      <c r="H13" s="9">
        <f t="shared" si="0"/>
        <v>12.056769328224844</v>
      </c>
      <c r="I13" s="9">
        <f t="shared" si="1"/>
        <v>6.173630152953534</v>
      </c>
      <c r="J13" s="9">
        <f t="shared" si="2"/>
        <v>0.2904909776822231</v>
      </c>
      <c r="K13" s="9">
        <f t="shared" si="3"/>
        <v>0.42363015295353346</v>
      </c>
      <c r="L13" s="9">
        <f t="shared" si="4"/>
        <v>0.5567693282248438</v>
      </c>
      <c r="M13" s="9">
        <f t="shared" si="5"/>
        <v>0.6899085034961543</v>
      </c>
      <c r="N13" s="9">
        <f t="shared" si="6"/>
        <v>0.8230476787674647</v>
      </c>
      <c r="O13" s="9">
        <f t="shared" si="7"/>
        <v>0.9399085034961543</v>
      </c>
      <c r="P13" s="9">
        <f>sunrise(Location!$B$4,Location!$B$5,Location!$B$6,4,A13,Location!$B$7,IF(Location!$B$8="No",0,1))</f>
        <v>0.2904909776822231</v>
      </c>
      <c r="Q13" s="9">
        <f>sunset(Location!$B$4,Location!$B$5,Location!$B$6,4,A13,Location!$B$7,IF(Location!$B$8="No",0,1))</f>
        <v>0.8230476787674647</v>
      </c>
      <c r="R13" s="9">
        <f t="shared" si="8"/>
        <v>0.5325567010852416</v>
      </c>
      <c r="S13" s="10">
        <f t="shared" si="9"/>
        <v>0.0443797250904368</v>
      </c>
      <c r="T13" s="9">
        <f t="shared" si="10"/>
        <v>23.46744329891476</v>
      </c>
      <c r="U13" s="10">
        <f t="shared" si="11"/>
        <v>0.03895360824289653</v>
      </c>
    </row>
    <row r="14" spans="1:21" ht="12.75">
      <c r="A14" s="5">
        <v>12</v>
      </c>
      <c r="B14" s="6" t="str">
        <f t="shared" si="12"/>
        <v>Sunday</v>
      </c>
      <c r="C14" s="59"/>
      <c r="D14" s="17" t="s">
        <v>28</v>
      </c>
      <c r="E14" s="8" t="s">
        <v>26</v>
      </c>
      <c r="F14" s="6" t="s">
        <v>46</v>
      </c>
      <c r="G14" s="128" t="s">
        <v>122</v>
      </c>
      <c r="H14" s="9">
        <f t="shared" si="0"/>
        <v>12.056590352383628</v>
      </c>
      <c r="I14" s="9">
        <f t="shared" si="1"/>
        <v>6.173153613912535</v>
      </c>
      <c r="J14" s="9">
        <f t="shared" si="2"/>
        <v>0.28971687544144265</v>
      </c>
      <c r="K14" s="9">
        <f t="shared" si="3"/>
        <v>0.4231536139125354</v>
      </c>
      <c r="L14" s="9">
        <f t="shared" si="4"/>
        <v>0.5565903523836282</v>
      </c>
      <c r="M14" s="9">
        <f t="shared" si="5"/>
        <v>0.690027090854721</v>
      </c>
      <c r="N14" s="9">
        <f t="shared" si="6"/>
        <v>0.8234638293258137</v>
      </c>
      <c r="O14" s="9">
        <f t="shared" si="7"/>
        <v>0.9400270908547209</v>
      </c>
      <c r="P14" s="9">
        <f>sunrise(Location!$B$4,Location!$B$5,Location!$B$6,4,A14,Location!$B$7,IF(Location!$B$8="No",0,1))</f>
        <v>0.28971687544144265</v>
      </c>
      <c r="Q14" s="9">
        <f>sunset(Location!$B$4,Location!$B$5,Location!$B$6,4,A14,Location!$B$7,IF(Location!$B$8="No",0,1))</f>
        <v>0.8234638293258137</v>
      </c>
      <c r="R14" s="9">
        <f t="shared" si="8"/>
        <v>0.5337469538843711</v>
      </c>
      <c r="S14" s="10">
        <f t="shared" si="9"/>
        <v>0.04447891282369759</v>
      </c>
      <c r="T14" s="9">
        <f t="shared" si="10"/>
        <v>23.46625304611563</v>
      </c>
      <c r="U14" s="10">
        <f t="shared" si="11"/>
        <v>0.03885442050963574</v>
      </c>
    </row>
    <row r="15" spans="1:21" ht="12.75">
      <c r="A15" s="5">
        <v>13</v>
      </c>
      <c r="B15" s="6" t="str">
        <f t="shared" si="12"/>
        <v>Monday</v>
      </c>
      <c r="C15" s="59"/>
      <c r="D15" s="17"/>
      <c r="E15" s="8" t="s">
        <v>29</v>
      </c>
      <c r="F15" s="6" t="s">
        <v>47</v>
      </c>
      <c r="G15" s="130" t="s">
        <v>282</v>
      </c>
      <c r="H15" s="9">
        <f t="shared" si="0"/>
        <v>12.056414992397794</v>
      </c>
      <c r="I15" s="9">
        <f t="shared" si="1"/>
        <v>6.172681922165874</v>
      </c>
      <c r="J15" s="9">
        <f t="shared" si="2"/>
        <v>0.28894885193395414</v>
      </c>
      <c r="K15" s="9">
        <f t="shared" si="3"/>
        <v>0.4226819221658738</v>
      </c>
      <c r="L15" s="9">
        <f t="shared" si="4"/>
        <v>0.5564149923977935</v>
      </c>
      <c r="M15" s="9">
        <f t="shared" si="5"/>
        <v>0.6901480626297131</v>
      </c>
      <c r="N15" s="9">
        <f t="shared" si="6"/>
        <v>0.8238811328616327</v>
      </c>
      <c r="O15" s="9">
        <f t="shared" si="7"/>
        <v>0.940148062629713</v>
      </c>
      <c r="P15" s="9">
        <f>sunrise(Location!$B$4,Location!$B$5,Location!$B$6,4,A15,Location!$B$7,IF(Location!$B$8="No",0,1))</f>
        <v>0.28894885193395414</v>
      </c>
      <c r="Q15" s="9">
        <f>sunset(Location!$B$4,Location!$B$5,Location!$B$6,4,A15,Location!$B$7,IF(Location!$B$8="No",0,1))</f>
        <v>0.8238811328616327</v>
      </c>
      <c r="R15" s="9">
        <f t="shared" si="8"/>
        <v>0.5349322809276785</v>
      </c>
      <c r="S15" s="10">
        <f t="shared" si="9"/>
        <v>0.044577690077306546</v>
      </c>
      <c r="T15" s="9">
        <f t="shared" si="10"/>
        <v>23.465067719072323</v>
      </c>
      <c r="U15" s="10">
        <f t="shared" si="11"/>
        <v>0.03875564325602678</v>
      </c>
    </row>
    <row r="16" spans="1:21" ht="12.75">
      <c r="A16" s="5">
        <v>14</v>
      </c>
      <c r="B16" s="6" t="str">
        <f t="shared" si="12"/>
        <v>Tuesday</v>
      </c>
      <c r="C16" s="59"/>
      <c r="D16" s="17" t="s">
        <v>35</v>
      </c>
      <c r="E16" s="8" t="s">
        <v>32</v>
      </c>
      <c r="F16" s="6" t="s">
        <v>123</v>
      </c>
      <c r="G16" s="130" t="s">
        <v>283</v>
      </c>
      <c r="H16" s="9">
        <f t="shared" si="0"/>
        <v>12.056243428326553</v>
      </c>
      <c r="I16" s="9">
        <f t="shared" si="1"/>
        <v>6.17221532025757</v>
      </c>
      <c r="J16" s="9">
        <f t="shared" si="2"/>
        <v>0.28818721218858667</v>
      </c>
      <c r="K16" s="9">
        <f t="shared" si="3"/>
        <v>0.42221532025757025</v>
      </c>
      <c r="L16" s="9">
        <f t="shared" si="4"/>
        <v>0.5562434283265538</v>
      </c>
      <c r="M16" s="9">
        <f t="shared" si="5"/>
        <v>0.6902715363955374</v>
      </c>
      <c r="N16" s="9">
        <f t="shared" si="6"/>
        <v>0.824299644464521</v>
      </c>
      <c r="O16" s="9">
        <f t="shared" si="7"/>
        <v>0.9402715363955374</v>
      </c>
      <c r="P16" s="9">
        <f>sunrise(Location!$B$4,Location!$B$5,Location!$B$6,4,A16,Location!$B$7,IF(Location!$B$8="No",0,1))</f>
        <v>0.28818721218858667</v>
      </c>
      <c r="Q16" s="9">
        <f>sunset(Location!$B$4,Location!$B$5,Location!$B$6,4,A16,Location!$B$7,IF(Location!$B$8="No",0,1))</f>
        <v>0.824299644464521</v>
      </c>
      <c r="R16" s="9">
        <f t="shared" si="8"/>
        <v>0.5361124322759343</v>
      </c>
      <c r="S16" s="10">
        <f t="shared" si="9"/>
        <v>0.044676036022994525</v>
      </c>
      <c r="T16" s="9">
        <f t="shared" si="10"/>
        <v>23.463887567724065</v>
      </c>
      <c r="U16" s="10">
        <f t="shared" si="11"/>
        <v>0.0386572973103388</v>
      </c>
    </row>
    <row r="17" spans="1:21" ht="12.75">
      <c r="A17" s="5">
        <v>15</v>
      </c>
      <c r="B17" s="6" t="str">
        <f aca="true" t="shared" si="13" ref="B17:B23">B3</f>
        <v>Wednesday</v>
      </c>
      <c r="C17" s="59"/>
      <c r="D17" s="17" t="s">
        <v>38</v>
      </c>
      <c r="E17" s="8" t="s">
        <v>36</v>
      </c>
      <c r="F17" s="6" t="s">
        <v>102</v>
      </c>
      <c r="G17" s="130" t="s">
        <v>284</v>
      </c>
      <c r="H17" s="9">
        <f t="shared" si="0"/>
        <v>12.056075836272093</v>
      </c>
      <c r="I17" s="9">
        <f t="shared" si="1"/>
        <v>6.171754048288982</v>
      </c>
      <c r="J17" s="9">
        <f t="shared" si="2"/>
        <v>0.2874322603058696</v>
      </c>
      <c r="K17" s="9">
        <f t="shared" si="3"/>
        <v>0.42175404828898144</v>
      </c>
      <c r="L17" s="9">
        <f t="shared" si="4"/>
        <v>0.5560758362720932</v>
      </c>
      <c r="M17" s="9">
        <f t="shared" si="5"/>
        <v>0.690397624255205</v>
      </c>
      <c r="N17" s="9">
        <f t="shared" si="6"/>
        <v>0.8247194122383167</v>
      </c>
      <c r="O17" s="9">
        <f t="shared" si="7"/>
        <v>0.9403976242552049</v>
      </c>
      <c r="P17" s="9">
        <f>sunrise(Location!$B$4,Location!$B$5,Location!$B$6,4,A17,Location!$B$7,IF(Location!$B$8="No",0,1))</f>
        <v>0.2874322603058696</v>
      </c>
      <c r="Q17" s="9">
        <f>sunset(Location!$B$4,Location!$B$5,Location!$B$6,4,A17,Location!$B$7,IF(Location!$B$8="No",0,1))</f>
        <v>0.8247194122383167</v>
      </c>
      <c r="R17" s="9">
        <f t="shared" si="8"/>
        <v>0.5372871519324471</v>
      </c>
      <c r="S17" s="10">
        <f t="shared" si="9"/>
        <v>0.04477392932770393</v>
      </c>
      <c r="T17" s="9">
        <f t="shared" si="10"/>
        <v>23.462712848067554</v>
      </c>
      <c r="U17" s="10">
        <f t="shared" si="11"/>
        <v>0.0385594040056294</v>
      </c>
    </row>
    <row r="18" spans="1:21" ht="12.75">
      <c r="A18" s="5">
        <v>16</v>
      </c>
      <c r="B18" s="6" t="str">
        <f t="shared" si="13"/>
        <v>Thursday</v>
      </c>
      <c r="C18" s="59"/>
      <c r="D18" s="17"/>
      <c r="E18" s="8" t="s">
        <v>17</v>
      </c>
      <c r="F18" s="6" t="s">
        <v>103</v>
      </c>
      <c r="G18" s="130" t="s">
        <v>285</v>
      </c>
      <c r="H18" s="9">
        <f t="shared" si="0"/>
        <v>12.05591238821212</v>
      </c>
      <c r="I18" s="9">
        <f t="shared" si="1"/>
        <v>6.171298343795999</v>
      </c>
      <c r="J18" s="9">
        <f t="shared" si="2"/>
        <v>0.2866842993798791</v>
      </c>
      <c r="K18" s="9">
        <f t="shared" si="3"/>
        <v>0.4212983437959994</v>
      </c>
      <c r="L18" s="9">
        <f t="shared" si="4"/>
        <v>0.5559123882121197</v>
      </c>
      <c r="M18" s="9">
        <f t="shared" si="5"/>
        <v>0.6905264326282401</v>
      </c>
      <c r="N18" s="9">
        <f t="shared" si="6"/>
        <v>0.8251404770443604</v>
      </c>
      <c r="O18" s="9">
        <f t="shared" si="7"/>
        <v>0.9405264326282401</v>
      </c>
      <c r="P18" s="9">
        <f>sunrise(Location!$B$4,Location!$B$5,Location!$B$6,4,A18,Location!$B$7,IF(Location!$B$8="No",0,1))</f>
        <v>0.2866842993798791</v>
      </c>
      <c r="Q18" s="9">
        <f>sunset(Location!$B$4,Location!$B$5,Location!$B$6,4,A18,Location!$B$7,IF(Location!$B$8="No",0,1))</f>
        <v>0.8251404770443604</v>
      </c>
      <c r="R18" s="9">
        <f t="shared" si="8"/>
        <v>0.5384561776644814</v>
      </c>
      <c r="S18" s="10">
        <f t="shared" si="9"/>
        <v>0.04487134813870678</v>
      </c>
      <c r="T18" s="9">
        <f t="shared" si="10"/>
        <v>23.461543822335518</v>
      </c>
      <c r="U18" s="10">
        <f t="shared" si="11"/>
        <v>0.03846198519462655</v>
      </c>
    </row>
    <row r="19" spans="1:21" ht="12.75">
      <c r="A19" s="5">
        <v>17</v>
      </c>
      <c r="B19" s="6" t="str">
        <f t="shared" si="13"/>
        <v>Friday</v>
      </c>
      <c r="C19" s="59"/>
      <c r="D19" s="17" t="s">
        <v>40</v>
      </c>
      <c r="E19" s="8" t="s">
        <v>21</v>
      </c>
      <c r="F19" s="6" t="s">
        <v>105</v>
      </c>
      <c r="G19" s="130" t="s">
        <v>286</v>
      </c>
      <c r="H19" s="9">
        <f t="shared" si="0"/>
        <v>12.055753251827092</v>
      </c>
      <c r="I19" s="9">
        <f t="shared" si="1"/>
        <v>6.170848441618311</v>
      </c>
      <c r="J19" s="9">
        <f t="shared" si="2"/>
        <v>0.2859436314095307</v>
      </c>
      <c r="K19" s="9">
        <f t="shared" si="3"/>
        <v>0.4208484416183108</v>
      </c>
      <c r="L19" s="9">
        <f t="shared" si="4"/>
        <v>0.5557532518270909</v>
      </c>
      <c r="M19" s="9">
        <f t="shared" si="5"/>
        <v>0.690658062035871</v>
      </c>
      <c r="N19" s="9">
        <f t="shared" si="6"/>
        <v>0.8255628722446511</v>
      </c>
      <c r="O19" s="9">
        <f t="shared" si="7"/>
        <v>0.940658062035871</v>
      </c>
      <c r="P19" s="9">
        <f>sunrise(Location!$B$4,Location!$B$5,Location!$B$6,4,A19,Location!$B$7,IF(Location!$B$8="No",0,1))</f>
        <v>0.2859436314095307</v>
      </c>
      <c r="Q19" s="9">
        <f>sunset(Location!$B$4,Location!$B$5,Location!$B$6,4,A19,Location!$B$7,IF(Location!$B$8="No",0,1))</f>
        <v>0.8255628722446511</v>
      </c>
      <c r="R19" s="9">
        <f t="shared" si="8"/>
        <v>0.5396192408351204</v>
      </c>
      <c r="S19" s="10">
        <f t="shared" si="9"/>
        <v>0.044968270069593363</v>
      </c>
      <c r="T19" s="9">
        <f t="shared" si="10"/>
        <v>23.46038075916488</v>
      </c>
      <c r="U19" s="10">
        <f t="shared" si="11"/>
        <v>0.038365063263739965</v>
      </c>
    </row>
    <row r="20" spans="1:21" ht="12.75">
      <c r="A20" s="5">
        <v>18</v>
      </c>
      <c r="B20" s="6" t="str">
        <f t="shared" si="13"/>
        <v>Saturday</v>
      </c>
      <c r="C20" s="59"/>
      <c r="D20" s="17" t="s">
        <v>42</v>
      </c>
      <c r="E20" s="8" t="s">
        <v>24</v>
      </c>
      <c r="F20" s="6" t="s">
        <v>107</v>
      </c>
      <c r="G20" s="130" t="s">
        <v>288</v>
      </c>
      <c r="H20" s="9">
        <f t="shared" si="0"/>
        <v>12.055598590323369</v>
      </c>
      <c r="I20" s="9">
        <f t="shared" si="1"/>
        <v>6.170404573760857</v>
      </c>
      <c r="J20" s="9">
        <f t="shared" si="2"/>
        <v>0.28521055719834476</v>
      </c>
      <c r="K20" s="9">
        <f t="shared" si="3"/>
        <v>0.4204045737608571</v>
      </c>
      <c r="L20" s="9">
        <f t="shared" si="4"/>
        <v>0.5555985903233694</v>
      </c>
      <c r="M20" s="9">
        <f t="shared" si="5"/>
        <v>0.6907926068858818</v>
      </c>
      <c r="N20" s="9">
        <f t="shared" si="6"/>
        <v>0.8259866234483941</v>
      </c>
      <c r="O20" s="9">
        <f t="shared" si="7"/>
        <v>0.9407926068858817</v>
      </c>
      <c r="P20" s="9">
        <f>sunrise(Location!$B$4,Location!$B$5,Location!$B$6,4,A20,Location!$B$7,IF(Location!$B$8="No",0,1))</f>
        <v>0.28521055719834476</v>
      </c>
      <c r="Q20" s="9">
        <f>sunset(Location!$B$4,Location!$B$5,Location!$B$6,4,A20,Location!$B$7,IF(Location!$B$8="No",0,1))</f>
        <v>0.8259866234483941</v>
      </c>
      <c r="R20" s="9">
        <f t="shared" si="8"/>
        <v>0.5407760662500494</v>
      </c>
      <c r="S20" s="10">
        <f t="shared" si="9"/>
        <v>0.045064672187504116</v>
      </c>
      <c r="T20" s="9">
        <f t="shared" si="10"/>
        <v>23.45922393374995</v>
      </c>
      <c r="U20" s="10">
        <f t="shared" si="11"/>
        <v>0.03826866114582921</v>
      </c>
    </row>
    <row r="21" spans="1:21" ht="12.75">
      <c r="A21" s="5">
        <v>19</v>
      </c>
      <c r="B21" s="6" t="str">
        <f t="shared" si="13"/>
        <v>Sunday</v>
      </c>
      <c r="C21" s="59"/>
      <c r="D21" s="17"/>
      <c r="E21" s="8" t="s">
        <v>26</v>
      </c>
      <c r="F21" s="6" t="s">
        <v>108</v>
      </c>
      <c r="G21" s="125" t="s">
        <v>289</v>
      </c>
      <c r="H21" s="9">
        <f t="shared" si="0"/>
        <v>12.055448562251364</v>
      </c>
      <c r="I21" s="9">
        <f t="shared" si="1"/>
        <v>6.169966969246917</v>
      </c>
      <c r="J21" s="9">
        <f t="shared" si="2"/>
        <v>0.2844853762424706</v>
      </c>
      <c r="K21" s="9">
        <f t="shared" si="3"/>
        <v>0.4199669692469179</v>
      </c>
      <c r="L21" s="9">
        <f t="shared" si="4"/>
        <v>0.5554485622513652</v>
      </c>
      <c r="M21" s="9">
        <f t="shared" si="5"/>
        <v>0.6909301552558125</v>
      </c>
      <c r="N21" s="9">
        <f t="shared" si="6"/>
        <v>0.8264117482602598</v>
      </c>
      <c r="O21" s="9">
        <f t="shared" si="7"/>
        <v>0.9409301552558125</v>
      </c>
      <c r="P21" s="9">
        <f>sunrise(Location!$B$4,Location!$B$5,Location!$B$6,4,A21,Location!$B$7,IF(Location!$B$8="No",0,1))</f>
        <v>0.2844853762424706</v>
      </c>
      <c r="Q21" s="9">
        <f>sunset(Location!$B$4,Location!$B$5,Location!$B$6,4,A21,Location!$B$7,IF(Location!$B$8="No",0,1))</f>
        <v>0.8264117482602598</v>
      </c>
      <c r="R21" s="9">
        <f t="shared" si="8"/>
        <v>0.5419263720177891</v>
      </c>
      <c r="S21" s="10">
        <f t="shared" si="9"/>
        <v>0.04516053100148243</v>
      </c>
      <c r="T21" s="9">
        <f t="shared" si="10"/>
        <v>23.45807362798221</v>
      </c>
      <c r="U21" s="10">
        <f t="shared" si="11"/>
        <v>0.0381728023318509</v>
      </c>
    </row>
    <row r="22" spans="1:21" ht="12.75">
      <c r="A22" s="5">
        <v>20</v>
      </c>
      <c r="B22" s="6" t="str">
        <f t="shared" si="13"/>
        <v>Monday</v>
      </c>
      <c r="C22" s="59"/>
      <c r="D22" s="17" t="s">
        <v>45</v>
      </c>
      <c r="E22" s="8" t="s">
        <v>29</v>
      </c>
      <c r="F22" s="6" t="s">
        <v>110</v>
      </c>
      <c r="G22" s="127" t="s">
        <v>287</v>
      </c>
      <c r="H22" s="9">
        <f t="shared" si="0"/>
        <v>12.05530332131866</v>
      </c>
      <c r="I22" s="9">
        <f t="shared" si="1"/>
        <v>6.169535853962065</v>
      </c>
      <c r="J22" s="9">
        <f t="shared" si="2"/>
        <v>0.28376838660547116</v>
      </c>
      <c r="K22" s="9">
        <f t="shared" si="3"/>
        <v>0.4195358539620656</v>
      </c>
      <c r="L22" s="9">
        <f t="shared" si="4"/>
        <v>0.55530332131866</v>
      </c>
      <c r="M22" s="9">
        <f t="shared" si="5"/>
        <v>0.6910707886752545</v>
      </c>
      <c r="N22" s="9">
        <f t="shared" si="6"/>
        <v>0.8268382560318489</v>
      </c>
      <c r="O22" s="9">
        <f t="shared" si="7"/>
        <v>0.9410707886752545</v>
      </c>
      <c r="P22" s="9">
        <f>sunrise(Location!$B$4,Location!$B$5,Location!$B$6,4,A22,Location!$B$7,IF(Location!$B$8="No",0,1))</f>
        <v>0.28376838660547116</v>
      </c>
      <c r="Q22" s="9">
        <f>sunset(Location!$B$4,Location!$B$5,Location!$B$6,4,A22,Location!$B$7,IF(Location!$B$8="No",0,1))</f>
        <v>0.8268382560318489</v>
      </c>
      <c r="R22" s="9">
        <f t="shared" si="8"/>
        <v>0.5430698694263778</v>
      </c>
      <c r="S22" s="10">
        <f t="shared" si="9"/>
        <v>0.04525582245219815</v>
      </c>
      <c r="T22" s="9">
        <f t="shared" si="10"/>
        <v>23.45693013057362</v>
      </c>
      <c r="U22" s="10">
        <f t="shared" si="11"/>
        <v>0.03807751088113518</v>
      </c>
    </row>
    <row r="23" spans="1:21" ht="12.75">
      <c r="A23" s="5">
        <v>21</v>
      </c>
      <c r="B23" s="6" t="str">
        <f t="shared" si="13"/>
        <v>Tuesday</v>
      </c>
      <c r="C23" s="59"/>
      <c r="D23" s="17"/>
      <c r="E23" s="8" t="s">
        <v>32</v>
      </c>
      <c r="F23" s="6" t="s">
        <v>111</v>
      </c>
      <c r="G23" s="131" t="s">
        <v>126</v>
      </c>
      <c r="H23" s="9">
        <f t="shared" si="0"/>
        <v>12.055163016199852</v>
      </c>
      <c r="I23" s="9">
        <f t="shared" si="1"/>
        <v>6.169111450491497</v>
      </c>
      <c r="J23" s="9">
        <f t="shared" si="2"/>
        <v>0.283059884783141</v>
      </c>
      <c r="K23" s="9">
        <f t="shared" si="3"/>
        <v>0.419111450491497</v>
      </c>
      <c r="L23" s="9">
        <f t="shared" si="4"/>
        <v>0.5551630161998531</v>
      </c>
      <c r="M23" s="9">
        <f t="shared" si="5"/>
        <v>0.6912145819082091</v>
      </c>
      <c r="N23" s="9">
        <f t="shared" si="6"/>
        <v>0.827266147616565</v>
      </c>
      <c r="O23" s="9">
        <f t="shared" si="7"/>
        <v>0.941214581908209</v>
      </c>
      <c r="P23" s="9">
        <f>sunrise(Location!$B$4,Location!$B$5,Location!$B$6,4,A23,Location!$B$7,IF(Location!$B$8="No",0,1))</f>
        <v>0.283059884783141</v>
      </c>
      <c r="Q23" s="9">
        <f>sunset(Location!$B$4,Location!$B$5,Location!$B$6,4,A23,Location!$B$7,IF(Location!$B$8="No",0,1))</f>
        <v>0.827266147616565</v>
      </c>
      <c r="R23" s="9">
        <f t="shared" si="8"/>
        <v>0.5442062628334241</v>
      </c>
      <c r="S23" s="10">
        <f t="shared" si="9"/>
        <v>0.045350521902785344</v>
      </c>
      <c r="T23" s="9">
        <f t="shared" si="10"/>
        <v>23.455793737166577</v>
      </c>
      <c r="U23" s="10">
        <f t="shared" si="11"/>
        <v>0.037982811430547984</v>
      </c>
    </row>
    <row r="24" spans="1:21" ht="12.75">
      <c r="A24" s="5">
        <v>22</v>
      </c>
      <c r="B24" s="6" t="str">
        <f aca="true" t="shared" si="14" ref="B24:B30">B3</f>
        <v>Wednesday</v>
      </c>
      <c r="C24" s="59"/>
      <c r="D24" s="17" t="s">
        <v>48</v>
      </c>
      <c r="E24" s="8" t="s">
        <v>36</v>
      </c>
      <c r="F24" s="6" t="s">
        <v>112</v>
      </c>
      <c r="G24" s="129"/>
      <c r="H24" s="9">
        <f t="shared" si="0"/>
        <v>12.055027790343567</v>
      </c>
      <c r="I24" s="9">
        <f t="shared" si="1"/>
        <v>6.168693977949379</v>
      </c>
      <c r="J24" s="9">
        <f t="shared" si="2"/>
        <v>0.28236016555519033</v>
      </c>
      <c r="K24" s="9">
        <f t="shared" si="3"/>
        <v>0.41869397794937857</v>
      </c>
      <c r="L24" s="9">
        <f t="shared" si="4"/>
        <v>0.5550277903435668</v>
      </c>
      <c r="M24" s="9">
        <f t="shared" si="5"/>
        <v>0.691361602737755</v>
      </c>
      <c r="N24" s="9">
        <f t="shared" si="6"/>
        <v>0.8276954151319433</v>
      </c>
      <c r="O24" s="9">
        <f t="shared" si="7"/>
        <v>0.941361602737755</v>
      </c>
      <c r="P24" s="9">
        <f>sunrise(Location!$B$4,Location!$B$5,Location!$B$6,4,A24,Location!$B$7,IF(Location!$B$8="No",0,1))</f>
        <v>0.28236016555519033</v>
      </c>
      <c r="Q24" s="9">
        <f>sunset(Location!$B$4,Location!$B$5,Location!$B$6,4,A24,Location!$B$7,IF(Location!$B$8="No",0,1))</f>
        <v>0.8276954151319433</v>
      </c>
      <c r="R24" s="9">
        <f t="shared" si="8"/>
        <v>0.545335249576753</v>
      </c>
      <c r="S24" s="10">
        <f t="shared" si="9"/>
        <v>0.04544460413139608</v>
      </c>
      <c r="T24" s="9">
        <f t="shared" si="10"/>
        <v>23.454664750423248</v>
      </c>
      <c r="U24" s="10">
        <f t="shared" si="11"/>
        <v>0.03788872920193725</v>
      </c>
    </row>
    <row r="25" spans="1:21" ht="12.75">
      <c r="A25" s="5">
        <v>23</v>
      </c>
      <c r="B25" s="6" t="str">
        <f t="shared" si="14"/>
        <v>Thursday</v>
      </c>
      <c r="C25" s="59"/>
      <c r="D25" s="17" t="s">
        <v>50</v>
      </c>
      <c r="E25" s="8" t="s">
        <v>17</v>
      </c>
      <c r="F25" s="6" t="s">
        <v>113</v>
      </c>
      <c r="G25" s="46" t="s">
        <v>127</v>
      </c>
      <c r="H25" s="9">
        <f t="shared" si="0"/>
        <v>12.054897781774093</v>
      </c>
      <c r="I25" s="9">
        <f t="shared" si="1"/>
        <v>6.168283651799442</v>
      </c>
      <c r="J25" s="9">
        <f t="shared" si="2"/>
        <v>0.2816695218247911</v>
      </c>
      <c r="K25" s="9">
        <f t="shared" si="3"/>
        <v>0.4182836517994417</v>
      </c>
      <c r="L25" s="9">
        <f t="shared" si="4"/>
        <v>0.5548977817740923</v>
      </c>
      <c r="M25" s="9">
        <f t="shared" si="5"/>
        <v>0.6915119117487429</v>
      </c>
      <c r="N25" s="9">
        <f t="shared" si="6"/>
        <v>0.8281260417233937</v>
      </c>
      <c r="O25" s="9">
        <f t="shared" si="7"/>
        <v>0.941511911748743</v>
      </c>
      <c r="P25" s="9">
        <f>sunrise(Location!$B$4,Location!$B$5,Location!$B$6,4,A25,Location!$B$7,IF(Location!$B$8="No",0,1))</f>
        <v>0.2816695218247911</v>
      </c>
      <c r="Q25" s="9">
        <f>sunset(Location!$B$4,Location!$B$5,Location!$B$6,4,A25,Location!$B$7,IF(Location!$B$8="No",0,1))</f>
        <v>0.8281260417233937</v>
      </c>
      <c r="R25" s="9">
        <f t="shared" si="8"/>
        <v>0.5464565198986026</v>
      </c>
      <c r="S25" s="10">
        <f t="shared" si="9"/>
        <v>0.045538043324883544</v>
      </c>
      <c r="T25" s="9">
        <f t="shared" si="10"/>
        <v>23.4535434801014</v>
      </c>
      <c r="U25" s="10">
        <f t="shared" si="11"/>
        <v>0.037795290008449785</v>
      </c>
    </row>
    <row r="26" spans="1:21" ht="12.75">
      <c r="A26" s="5">
        <v>24</v>
      </c>
      <c r="B26" s="6" t="str">
        <f t="shared" si="14"/>
        <v>Friday</v>
      </c>
      <c r="C26" s="59"/>
      <c r="D26" s="17"/>
      <c r="E26" s="8" t="s">
        <v>21</v>
      </c>
      <c r="F26" s="6" t="s">
        <v>114</v>
      </c>
      <c r="G26" s="129"/>
      <c r="H26" s="9">
        <f t="shared" si="0"/>
        <v>12.054773122892554</v>
      </c>
      <c r="I26" s="9">
        <f t="shared" si="1"/>
        <v>6.167880683669276</v>
      </c>
      <c r="J26" s="9">
        <f t="shared" si="2"/>
        <v>0.2809882444459977</v>
      </c>
      <c r="K26" s="9">
        <f t="shared" si="3"/>
        <v>0.4178806836692755</v>
      </c>
      <c r="L26" s="9">
        <f t="shared" si="4"/>
        <v>0.5547731228925533</v>
      </c>
      <c r="M26" s="9">
        <f t="shared" si="5"/>
        <v>0.6916655621158312</v>
      </c>
      <c r="N26" s="9">
        <f t="shared" si="6"/>
        <v>0.828558001339109</v>
      </c>
      <c r="O26" s="9">
        <f t="shared" si="7"/>
        <v>0.9416655621158312</v>
      </c>
      <c r="P26" s="9">
        <f>sunrise(Location!$B$4,Location!$B$5,Location!$B$6,4,A26,Location!$B$7,IF(Location!$B$8="No",0,1))</f>
        <v>0.2809882444459977</v>
      </c>
      <c r="Q26" s="9">
        <f>sunset(Location!$B$4,Location!$B$5,Location!$B$6,4,A26,Location!$B$7,IF(Location!$B$8="No",0,1))</f>
        <v>0.828558001339109</v>
      </c>
      <c r="R26" s="9">
        <f t="shared" si="8"/>
        <v>0.5475697568931113</v>
      </c>
      <c r="S26" s="10">
        <f t="shared" si="9"/>
        <v>0.04563081307442594</v>
      </c>
      <c r="T26" s="9">
        <f t="shared" si="10"/>
        <v>23.45243024310689</v>
      </c>
      <c r="U26" s="10">
        <f t="shared" si="11"/>
        <v>0.03770252025890739</v>
      </c>
    </row>
    <row r="27" spans="1:21" ht="12.75">
      <c r="A27" s="5">
        <v>25</v>
      </c>
      <c r="B27" s="6" t="str">
        <f t="shared" si="14"/>
        <v>Saturday</v>
      </c>
      <c r="C27" s="59"/>
      <c r="D27" s="17" t="s">
        <v>53</v>
      </c>
      <c r="E27" s="8" t="s">
        <v>24</v>
      </c>
      <c r="F27" s="6" t="s">
        <v>116</v>
      </c>
      <c r="G27" s="49" t="s">
        <v>238</v>
      </c>
      <c r="H27" s="9">
        <f t="shared" si="0"/>
        <v>12.054653940274902</v>
      </c>
      <c r="I27" s="9">
        <f t="shared" si="1"/>
        <v>6.167485281157144</v>
      </c>
      <c r="J27" s="9">
        <f t="shared" si="2"/>
        <v>0.2803166220393868</v>
      </c>
      <c r="K27" s="9">
        <f t="shared" si="3"/>
        <v>0.4174852811571439</v>
      </c>
      <c r="L27" s="9">
        <f t="shared" si="4"/>
        <v>0.554653940274901</v>
      </c>
      <c r="M27" s="9">
        <f t="shared" si="5"/>
        <v>0.6918225993926581</v>
      </c>
      <c r="N27" s="9">
        <f t="shared" si="6"/>
        <v>0.8289912585104152</v>
      </c>
      <c r="O27" s="9">
        <f t="shared" si="7"/>
        <v>0.9418225993926581</v>
      </c>
      <c r="P27" s="9">
        <f>sunrise(Location!$B$4,Location!$B$5,Location!$B$6,4,A27,Location!$B$7,IF(Location!$B$8="No",0,1))</f>
        <v>0.2803166220393868</v>
      </c>
      <c r="Q27" s="9">
        <f>sunset(Location!$B$4,Location!$B$5,Location!$B$6,4,A27,Location!$B$7,IF(Location!$B$8="No",0,1))</f>
        <v>0.8289912585104152</v>
      </c>
      <c r="R27" s="9">
        <f t="shared" si="8"/>
        <v>0.5486746364710284</v>
      </c>
      <c r="S27" s="10">
        <f t="shared" si="9"/>
        <v>0.0457228863725857</v>
      </c>
      <c r="T27" s="9">
        <f t="shared" si="10"/>
        <v>23.451325363528973</v>
      </c>
      <c r="U27" s="10">
        <f t="shared" si="11"/>
        <v>0.037610446960747626</v>
      </c>
    </row>
    <row r="28" spans="1:21" ht="12.75">
      <c r="A28" s="5">
        <v>26</v>
      </c>
      <c r="B28" s="6" t="str">
        <f t="shared" si="14"/>
        <v>Sunday</v>
      </c>
      <c r="C28" s="59"/>
      <c r="D28" s="17" t="s">
        <v>55</v>
      </c>
      <c r="E28" s="8" t="s">
        <v>26</v>
      </c>
      <c r="F28" s="6" t="s">
        <v>117</v>
      </c>
      <c r="G28" s="133" t="s">
        <v>290</v>
      </c>
      <c r="H28" s="9">
        <f t="shared" si="0"/>
        <v>12.054540354467893</v>
      </c>
      <c r="I28" s="9">
        <f t="shared" si="1"/>
        <v>6.167097647631322</v>
      </c>
      <c r="J28" s="9">
        <f t="shared" si="2"/>
        <v>0.27965494079475123</v>
      </c>
      <c r="K28" s="9">
        <f t="shared" si="3"/>
        <v>0.41709764763132207</v>
      </c>
      <c r="L28" s="9">
        <f t="shared" si="4"/>
        <v>0.5545403544678928</v>
      </c>
      <c r="M28" s="9">
        <f t="shared" si="5"/>
        <v>0.6919830613044635</v>
      </c>
      <c r="N28" s="9">
        <f t="shared" si="6"/>
        <v>0.8294257681410343</v>
      </c>
      <c r="O28" s="9">
        <f t="shared" si="7"/>
        <v>0.9419830613044635</v>
      </c>
      <c r="P28" s="9">
        <f>sunrise(Location!$B$4,Location!$B$5,Location!$B$6,4,A28,Location!$B$7,IF(Location!$B$8="No",0,1))</f>
        <v>0.27965494079475123</v>
      </c>
      <c r="Q28" s="9">
        <f>sunset(Location!$B$4,Location!$B$5,Location!$B$6,4,A28,Location!$B$7,IF(Location!$B$8="No",0,1))</f>
        <v>0.8294257681410343</v>
      </c>
      <c r="R28" s="9">
        <f t="shared" si="8"/>
        <v>0.5497708273462831</v>
      </c>
      <c r="S28" s="10">
        <f t="shared" si="9"/>
        <v>0.04581423561219026</v>
      </c>
      <c r="T28" s="9">
        <f t="shared" si="10"/>
        <v>23.450229172653717</v>
      </c>
      <c r="U28" s="10">
        <f t="shared" si="11"/>
        <v>0.03751909772114307</v>
      </c>
    </row>
    <row r="29" spans="1:21" ht="12.75">
      <c r="A29" s="5">
        <v>27</v>
      </c>
      <c r="B29" s="6" t="str">
        <f t="shared" si="14"/>
        <v>Monday</v>
      </c>
      <c r="C29" s="59"/>
      <c r="D29" s="17"/>
      <c r="E29" s="8" t="s">
        <v>29</v>
      </c>
      <c r="F29" s="6" t="s">
        <v>118</v>
      </c>
      <c r="G29" s="129"/>
      <c r="H29" s="9">
        <f t="shared" si="0"/>
        <v>12.05443247978565</v>
      </c>
      <c r="I29" s="9">
        <f t="shared" si="1"/>
        <v>6.166717982024867</v>
      </c>
      <c r="J29" s="9">
        <f t="shared" si="2"/>
        <v>0.27900348426408367</v>
      </c>
      <c r="K29" s="9">
        <f t="shared" si="3"/>
        <v>0.416717982024867</v>
      </c>
      <c r="L29" s="9">
        <f t="shared" si="4"/>
        <v>0.5544324797856504</v>
      </c>
      <c r="M29" s="9">
        <f t="shared" si="5"/>
        <v>0.6921469775464336</v>
      </c>
      <c r="N29" s="9">
        <f t="shared" si="6"/>
        <v>0.8298614753072169</v>
      </c>
      <c r="O29" s="9">
        <f t="shared" si="7"/>
        <v>0.9421469775464335</v>
      </c>
      <c r="P29" s="9">
        <f>sunrise(Location!$B$4,Location!$B$5,Location!$B$6,4,A29,Location!$B$7,IF(Location!$B$8="No",0,1))</f>
        <v>0.27900348426408367</v>
      </c>
      <c r="Q29" s="9">
        <f>sunset(Location!$B$4,Location!$B$5,Location!$B$6,4,A29,Location!$B$7,IF(Location!$B$8="No",0,1))</f>
        <v>0.8298614753072169</v>
      </c>
      <c r="R29" s="9">
        <f t="shared" si="8"/>
        <v>0.5508579910431333</v>
      </c>
      <c r="S29" s="10">
        <f t="shared" si="9"/>
        <v>0.04590483258692777</v>
      </c>
      <c r="T29" s="9">
        <f t="shared" si="10"/>
        <v>23.449142008956866</v>
      </c>
      <c r="U29" s="10">
        <f t="shared" si="11"/>
        <v>0.03742850074640556</v>
      </c>
    </row>
    <row r="30" spans="1:21" ht="12.75">
      <c r="A30" s="5">
        <v>28</v>
      </c>
      <c r="B30" s="6" t="str">
        <f t="shared" si="14"/>
        <v>Tuesday</v>
      </c>
      <c r="C30" s="59"/>
      <c r="D30" s="17" t="s">
        <v>59</v>
      </c>
      <c r="E30" s="8" t="s">
        <v>32</v>
      </c>
      <c r="F30" s="6" t="s">
        <v>119</v>
      </c>
      <c r="G30" s="129"/>
      <c r="H30" s="9">
        <f t="shared" si="0"/>
        <v>12.05433042410509</v>
      </c>
      <c r="I30" s="9">
        <f t="shared" si="1"/>
        <v>6.166346478622864</v>
      </c>
      <c r="J30" s="9">
        <f t="shared" si="2"/>
        <v>0.27836253314063636</v>
      </c>
      <c r="K30" s="9">
        <f t="shared" si="3"/>
        <v>0.4163464786228632</v>
      </c>
      <c r="L30" s="9">
        <f t="shared" si="4"/>
        <v>0.5543304241050901</v>
      </c>
      <c r="M30" s="9">
        <f t="shared" si="5"/>
        <v>0.6923143695873171</v>
      </c>
      <c r="N30" s="9">
        <f t="shared" si="6"/>
        <v>0.830298315069544</v>
      </c>
      <c r="O30" s="9">
        <f t="shared" si="7"/>
        <v>0.9423143695873171</v>
      </c>
      <c r="P30" s="9">
        <f>sunrise(Location!$B$4,Location!$B$5,Location!$B$6,4,A30,Location!$B$7,IF(Location!$B$8="No",0,1))</f>
        <v>0.27836253314063636</v>
      </c>
      <c r="Q30" s="9">
        <f>sunset(Location!$B$4,Location!$B$5,Location!$B$6,4,A30,Location!$B$7,IF(Location!$B$8="No",0,1))</f>
        <v>0.830298315069544</v>
      </c>
      <c r="R30" s="9">
        <f t="shared" si="8"/>
        <v>0.5519357819289077</v>
      </c>
      <c r="S30" s="10">
        <f t="shared" si="9"/>
        <v>0.04599464849407564</v>
      </c>
      <c r="T30" s="9">
        <f t="shared" si="10"/>
        <v>23.448064218071092</v>
      </c>
      <c r="U30" s="10">
        <f t="shared" si="11"/>
        <v>0.03733868483925769</v>
      </c>
    </row>
    <row r="31" spans="1:21" ht="12.75">
      <c r="A31" s="5">
        <v>29</v>
      </c>
      <c r="B31" s="6" t="str">
        <f>B3</f>
        <v>Wednesday</v>
      </c>
      <c r="C31" s="59"/>
      <c r="D31" s="94" t="s">
        <v>61</v>
      </c>
      <c r="E31" s="8" t="s">
        <v>36</v>
      </c>
      <c r="F31" s="6" t="s">
        <v>120</v>
      </c>
      <c r="G31" s="129"/>
      <c r="H31" s="9">
        <f t="shared" si="0"/>
        <v>12.054234288661243</v>
      </c>
      <c r="I31" s="9">
        <f t="shared" si="1"/>
        <v>6.165983326844182</v>
      </c>
      <c r="J31" s="9">
        <f t="shared" si="2"/>
        <v>0.27773236502711945</v>
      </c>
      <c r="K31" s="9">
        <f t="shared" si="3"/>
        <v>0.41598332684418127</v>
      </c>
      <c r="L31" s="9">
        <f t="shared" si="4"/>
        <v>0.554234288661243</v>
      </c>
      <c r="M31" s="9">
        <f t="shared" si="5"/>
        <v>0.6924852504783048</v>
      </c>
      <c r="N31" s="9">
        <f t="shared" si="6"/>
        <v>0.8307362122953664</v>
      </c>
      <c r="O31" s="9">
        <f t="shared" si="7"/>
        <v>0.9424852504783047</v>
      </c>
      <c r="P31" s="9">
        <f>sunrise(Location!$B$4,Location!$B$5,Location!$B$6,4,A31,Location!$B$7,IF(Location!$B$8="No",0,1))</f>
        <v>0.27773236502711945</v>
      </c>
      <c r="Q31" s="9">
        <f>sunset(Location!$B$4,Location!$B$5,Location!$B$6,4,A31,Location!$B$7,IF(Location!$B$8="No",0,1))</f>
        <v>0.8307362122953664</v>
      </c>
      <c r="R31" s="9">
        <f t="shared" si="8"/>
        <v>0.553003847268247</v>
      </c>
      <c r="S31" s="10">
        <f t="shared" si="9"/>
        <v>0.046083653939020586</v>
      </c>
      <c r="T31" s="9">
        <f t="shared" si="10"/>
        <v>23.446996152731753</v>
      </c>
      <c r="U31" s="10">
        <f t="shared" si="11"/>
        <v>0.03724967939431274</v>
      </c>
    </row>
    <row r="32" spans="1:21" ht="12.75">
      <c r="A32" s="5">
        <v>30</v>
      </c>
      <c r="B32" s="6" t="str">
        <f>B4</f>
        <v>Thursday</v>
      </c>
      <c r="C32" s="59"/>
      <c r="E32" s="8" t="s">
        <v>17</v>
      </c>
      <c r="F32" s="6" t="s">
        <v>78</v>
      </c>
      <c r="G32" s="129"/>
      <c r="H32" s="9">
        <f t="shared" si="0"/>
        <v>12.054144167844482</v>
      </c>
      <c r="I32" s="9">
        <f t="shared" si="1"/>
        <v>6.165628711018427</v>
      </c>
      <c r="J32" s="9">
        <f t="shared" si="2"/>
        <v>0.2771132541923727</v>
      </c>
      <c r="K32" s="9">
        <f t="shared" si="3"/>
        <v>0.415628711018427</v>
      </c>
      <c r="L32" s="9">
        <f t="shared" si="4"/>
        <v>0.5541441678444814</v>
      </c>
      <c r="M32" s="9">
        <f t="shared" si="5"/>
        <v>0.6926596246705358</v>
      </c>
      <c r="N32" s="9">
        <f t="shared" si="6"/>
        <v>0.8311750814965901</v>
      </c>
      <c r="O32" s="9">
        <f t="shared" si="7"/>
        <v>0.9426596246705358</v>
      </c>
      <c r="P32" s="9">
        <f>sunrise(Location!$B$4,Location!$B$5,Location!$B$6,4,A32,Location!$B$7,IF(Location!$B$8="No",0,1))</f>
        <v>0.2771132541923727</v>
      </c>
      <c r="Q32" s="9">
        <f>sunset(Location!$B$4,Location!$B$5,Location!$B$6,4,A32,Location!$B$7,IF(Location!$B$8="No",0,1))</f>
        <v>0.8311750814965901</v>
      </c>
      <c r="R32" s="9">
        <f t="shared" si="8"/>
        <v>0.5540618273042175</v>
      </c>
      <c r="S32" s="10">
        <f t="shared" si="9"/>
        <v>0.04617181894201813</v>
      </c>
      <c r="T32" s="9">
        <f t="shared" si="10"/>
        <v>23.445938172695783</v>
      </c>
      <c r="U32" s="10">
        <f t="shared" si="11"/>
        <v>0.0371615143913152</v>
      </c>
    </row>
    <row r="33" ht="12.75">
      <c r="G33" s="18"/>
    </row>
    <row r="34" ht="12.75">
      <c r="G34" s="18"/>
    </row>
    <row r="35" spans="1:7" ht="12.75">
      <c r="A35" s="6"/>
      <c r="G35" s="18"/>
    </row>
    <row r="36" spans="2:7" ht="12.75">
      <c r="B36" s="6"/>
      <c r="D36" s="40">
        <f>Location!C12</f>
        <v>15</v>
      </c>
      <c r="F36" s="6"/>
      <c r="G36" s="18"/>
    </row>
    <row r="37" spans="1:21" ht="12.75">
      <c r="A37" s="6"/>
      <c r="B37" s="6"/>
      <c r="C37" s="58" t="str">
        <f>IF(Location!B9="No",Location!C13,Location!C14)</f>
        <v>D</v>
      </c>
      <c r="D37" s="6"/>
      <c r="F37" s="6"/>
      <c r="G37" s="15"/>
      <c r="H37" s="9"/>
      <c r="I37" s="9"/>
      <c r="J37" s="9"/>
      <c r="K37" s="9"/>
      <c r="L37" s="9"/>
      <c r="M37" s="9"/>
      <c r="N37" s="9"/>
      <c r="O37" s="9"/>
      <c r="P37" s="9"/>
      <c r="Q37" s="9"/>
      <c r="R37" s="9"/>
      <c r="S37" s="10"/>
      <c r="T37" s="9"/>
      <c r="U37" s="10"/>
    </row>
    <row r="38" spans="1:21" ht="12.75">
      <c r="A38" s="6"/>
      <c r="B38" s="6"/>
      <c r="C38" s="6"/>
      <c r="D38" s="6"/>
      <c r="F38" s="6"/>
      <c r="G38" s="15"/>
      <c r="H38" s="9"/>
      <c r="I38" s="9"/>
      <c r="J38" s="9"/>
      <c r="K38" s="9"/>
      <c r="L38" s="9"/>
      <c r="M38" s="9"/>
      <c r="N38" s="9"/>
      <c r="O38" s="9"/>
      <c r="P38" s="9"/>
      <c r="Q38" s="9"/>
      <c r="R38" s="9"/>
      <c r="S38" s="10"/>
      <c r="T38" s="9"/>
      <c r="U38" s="10"/>
    </row>
    <row r="39" spans="1:21" ht="12.75">
      <c r="A39" s="6"/>
      <c r="B39" s="6"/>
      <c r="C39" s="6"/>
      <c r="D39" s="6"/>
      <c r="E39" s="6"/>
      <c r="F39" s="6"/>
      <c r="G39" s="15"/>
      <c r="H39" s="9"/>
      <c r="I39" s="9"/>
      <c r="J39" s="9"/>
      <c r="K39" s="9"/>
      <c r="L39" s="9"/>
      <c r="M39" s="9"/>
      <c r="N39" s="9"/>
      <c r="O39" s="9"/>
      <c r="P39" s="9"/>
      <c r="Q39" s="9"/>
      <c r="R39" s="9"/>
      <c r="S39" s="10"/>
      <c r="T39" s="9"/>
      <c r="U39" s="10"/>
    </row>
    <row r="40" spans="1:21" ht="12.75">
      <c r="A40" s="6"/>
      <c r="B40" s="6"/>
      <c r="C40" s="6"/>
      <c r="D40" s="6"/>
      <c r="E40" s="6"/>
      <c r="F40" s="6"/>
      <c r="G40" s="15"/>
      <c r="H40" s="9"/>
      <c r="I40" s="9"/>
      <c r="J40" s="9"/>
      <c r="K40" s="9"/>
      <c r="L40" s="9"/>
      <c r="M40" s="9"/>
      <c r="N40" s="9"/>
      <c r="O40" s="9"/>
      <c r="P40" s="9"/>
      <c r="Q40" s="9"/>
      <c r="R40" s="9"/>
      <c r="S40" s="10"/>
      <c r="T40" s="9"/>
      <c r="U40" s="10"/>
    </row>
    <row r="41" spans="1:21" ht="12.75">
      <c r="A41" s="6"/>
      <c r="B41" s="6"/>
      <c r="C41" s="6"/>
      <c r="D41" s="6"/>
      <c r="E41" s="6"/>
      <c r="F41" s="6"/>
      <c r="G41" s="15"/>
      <c r="H41" s="9"/>
      <c r="I41" s="9"/>
      <c r="J41" s="9"/>
      <c r="K41" s="9"/>
      <c r="L41" s="9"/>
      <c r="M41" s="9"/>
      <c r="N41" s="9"/>
      <c r="O41" s="9"/>
      <c r="P41" s="9"/>
      <c r="Q41" s="9"/>
      <c r="R41" s="9"/>
      <c r="S41" s="10"/>
      <c r="T41" s="9"/>
      <c r="U41" s="10"/>
    </row>
    <row r="42" spans="1:21" ht="12.75">
      <c r="A42" s="6"/>
      <c r="B42" s="6"/>
      <c r="C42" s="6"/>
      <c r="D42" s="6"/>
      <c r="E42" s="6"/>
      <c r="F42" s="6"/>
      <c r="G42" s="15"/>
      <c r="H42" s="9"/>
      <c r="I42" s="9"/>
      <c r="J42" s="9"/>
      <c r="K42" s="9"/>
      <c r="L42" s="9"/>
      <c r="M42" s="9"/>
      <c r="N42" s="9"/>
      <c r="O42" s="9"/>
      <c r="P42" s="9"/>
      <c r="Q42" s="9"/>
      <c r="R42" s="9"/>
      <c r="S42" s="10"/>
      <c r="T42" s="9"/>
      <c r="U42" s="10"/>
    </row>
    <row r="43" spans="1:21" ht="12.75">
      <c r="A43" s="6"/>
      <c r="B43" s="6"/>
      <c r="C43" s="6"/>
      <c r="D43" s="6"/>
      <c r="E43" s="6"/>
      <c r="F43" s="6"/>
      <c r="G43" s="15"/>
      <c r="H43" s="9"/>
      <c r="I43" s="9"/>
      <c r="J43" s="9"/>
      <c r="K43" s="9"/>
      <c r="L43" s="9"/>
      <c r="M43" s="9"/>
      <c r="N43" s="9"/>
      <c r="O43" s="9"/>
      <c r="P43" s="9"/>
      <c r="Q43" s="9"/>
      <c r="R43" s="9"/>
      <c r="S43" s="10"/>
      <c r="T43" s="9"/>
      <c r="U43" s="10"/>
    </row>
    <row r="44" spans="1:21" ht="12.75">
      <c r="A44" s="6"/>
      <c r="B44" s="6"/>
      <c r="C44" s="6"/>
      <c r="D44" s="6"/>
      <c r="E44" s="6"/>
      <c r="F44" s="6"/>
      <c r="G44" s="15"/>
      <c r="H44" s="9"/>
      <c r="I44" s="9"/>
      <c r="J44" s="9"/>
      <c r="K44" s="9"/>
      <c r="L44" s="9"/>
      <c r="M44" s="9"/>
      <c r="N44" s="9"/>
      <c r="O44" s="9"/>
      <c r="P44" s="9"/>
      <c r="Q44" s="9"/>
      <c r="R44" s="9"/>
      <c r="S44" s="10"/>
      <c r="T44" s="9"/>
      <c r="U44" s="10"/>
    </row>
    <row r="45" spans="1:21" ht="12.75">
      <c r="A45" s="6"/>
      <c r="B45" s="6"/>
      <c r="C45" s="6"/>
      <c r="D45" s="6"/>
      <c r="E45" s="6"/>
      <c r="F45" s="6"/>
      <c r="G45" s="15"/>
      <c r="H45" s="9"/>
      <c r="I45" s="9"/>
      <c r="J45" s="9"/>
      <c r="K45" s="9"/>
      <c r="L45" s="9"/>
      <c r="M45" s="9"/>
      <c r="N45" s="9"/>
      <c r="O45" s="9"/>
      <c r="P45" s="9"/>
      <c r="Q45" s="9"/>
      <c r="R45" s="9"/>
      <c r="S45" s="10"/>
      <c r="T45" s="9"/>
      <c r="U45" s="10"/>
    </row>
    <row r="46" spans="1:21" ht="12.75">
      <c r="A46" s="6"/>
      <c r="C46" s="6"/>
      <c r="E46" s="6"/>
      <c r="G46" s="15"/>
      <c r="H46" s="9"/>
      <c r="I46" s="9"/>
      <c r="J46" s="9"/>
      <c r="K46" s="9"/>
      <c r="L46" s="9"/>
      <c r="M46" s="9"/>
      <c r="N46" s="9"/>
      <c r="O46" s="9"/>
      <c r="P46" s="9"/>
      <c r="Q46" s="9"/>
      <c r="R46" s="9"/>
      <c r="S46" s="10"/>
      <c r="T46" s="9"/>
      <c r="U46" s="10"/>
    </row>
    <row r="47" ht="12.75">
      <c r="G47" s="18"/>
    </row>
    <row r="48" ht="12.75">
      <c r="G48" s="18"/>
    </row>
    <row r="49" ht="12.75">
      <c r="G49" s="18"/>
    </row>
    <row r="50" ht="12.75">
      <c r="G50" s="18"/>
    </row>
    <row r="51" ht="12.75">
      <c r="G51" s="18"/>
    </row>
    <row r="52" ht="12.75">
      <c r="G52" s="18"/>
    </row>
    <row r="53" ht="12.75">
      <c r="G53" s="18"/>
    </row>
    <row r="54" ht="12.75">
      <c r="G54" s="18"/>
    </row>
    <row r="55" ht="12.75">
      <c r="G55" s="18"/>
    </row>
    <row r="56" ht="12.75">
      <c r="G56" s="18"/>
    </row>
    <row r="57" ht="12.75">
      <c r="G57" s="18"/>
    </row>
    <row r="58" ht="12.75">
      <c r="G58" s="18"/>
    </row>
    <row r="59" ht="12.75">
      <c r="G59" s="18"/>
    </row>
    <row r="60" ht="12.75">
      <c r="G60" s="18"/>
    </row>
    <row r="61" ht="12.75">
      <c r="G61" s="18"/>
    </row>
    <row r="62" ht="12.75">
      <c r="G62" s="18"/>
    </row>
    <row r="63" ht="12.75">
      <c r="G63" s="18"/>
    </row>
    <row r="64" ht="12.75">
      <c r="G64" s="18"/>
    </row>
    <row r="65" ht="12.75">
      <c r="G65" s="18"/>
    </row>
    <row r="66" ht="12.75">
      <c r="G66" s="18"/>
    </row>
    <row r="67" ht="12.75">
      <c r="G67" s="18"/>
    </row>
    <row r="68" ht="12.75">
      <c r="G68" s="18"/>
    </row>
    <row r="69" ht="12.75">
      <c r="G69" s="18"/>
    </row>
    <row r="70" ht="12.75">
      <c r="G70" s="18"/>
    </row>
    <row r="71" ht="12.75">
      <c r="G71" s="18"/>
    </row>
    <row r="72" ht="12.75">
      <c r="G72" s="18"/>
    </row>
    <row r="73" ht="12.75">
      <c r="G73" s="18"/>
    </row>
    <row r="74" ht="12.75">
      <c r="G74" s="18"/>
    </row>
    <row r="75" ht="12.75">
      <c r="G75" s="18"/>
    </row>
    <row r="76" ht="12.75">
      <c r="G76" s="18"/>
    </row>
    <row r="77" ht="12.75">
      <c r="G77" s="18"/>
    </row>
    <row r="78" ht="12.75">
      <c r="G78" s="18"/>
    </row>
    <row r="79" spans="2:7" ht="12.75">
      <c r="B79" s="6"/>
      <c r="D79" s="6"/>
      <c r="F79" s="6"/>
      <c r="G79" s="18"/>
    </row>
    <row r="80" spans="1:21" ht="12.75">
      <c r="A80" s="6"/>
      <c r="B80" s="6"/>
      <c r="C80" s="6"/>
      <c r="D80" s="6"/>
      <c r="E80" s="6"/>
      <c r="F80" s="6"/>
      <c r="G80" s="15"/>
      <c r="H80" s="9"/>
      <c r="I80" s="9"/>
      <c r="J80" s="9"/>
      <c r="K80" s="9"/>
      <c r="L80" s="9"/>
      <c r="M80" s="9"/>
      <c r="N80" s="9"/>
      <c r="O80" s="9"/>
      <c r="P80" s="9"/>
      <c r="Q80" s="9"/>
      <c r="R80" s="9"/>
      <c r="S80" s="10"/>
      <c r="T80" s="9"/>
      <c r="U80" s="10"/>
    </row>
    <row r="81" spans="1:21" ht="12.75">
      <c r="A81" s="6"/>
      <c r="B81" s="6"/>
      <c r="C81" s="6"/>
      <c r="D81" s="6"/>
      <c r="E81" s="6"/>
      <c r="F81" s="6"/>
      <c r="G81" s="15"/>
      <c r="H81" s="9"/>
      <c r="I81" s="9"/>
      <c r="J81" s="9"/>
      <c r="K81" s="9"/>
      <c r="L81" s="9"/>
      <c r="M81" s="9"/>
      <c r="N81" s="9"/>
      <c r="O81" s="9"/>
      <c r="P81" s="9"/>
      <c r="Q81" s="9"/>
      <c r="R81" s="9"/>
      <c r="S81" s="10"/>
      <c r="T81" s="9"/>
      <c r="U81" s="10"/>
    </row>
    <row r="82" spans="1:21" ht="12.75">
      <c r="A82" s="6"/>
      <c r="B82" s="6"/>
      <c r="C82" s="6"/>
      <c r="D82" s="6"/>
      <c r="E82" s="6"/>
      <c r="F82" s="6"/>
      <c r="G82" s="15"/>
      <c r="H82" s="9"/>
      <c r="I82" s="9"/>
      <c r="J82" s="9"/>
      <c r="K82" s="9"/>
      <c r="L82" s="9"/>
      <c r="M82" s="9"/>
      <c r="N82" s="9"/>
      <c r="O82" s="9"/>
      <c r="P82" s="9"/>
      <c r="Q82" s="9"/>
      <c r="R82" s="9"/>
      <c r="S82" s="10"/>
      <c r="T82" s="9"/>
      <c r="U82" s="10"/>
    </row>
    <row r="83" spans="1:21" ht="12.75">
      <c r="A83" s="6"/>
      <c r="B83" s="6"/>
      <c r="C83" s="6"/>
      <c r="D83" s="6"/>
      <c r="E83" s="6"/>
      <c r="F83" s="6"/>
      <c r="G83" s="15"/>
      <c r="H83" s="9"/>
      <c r="I83" s="9"/>
      <c r="J83" s="9"/>
      <c r="K83" s="9"/>
      <c r="L83" s="9"/>
      <c r="M83" s="9"/>
      <c r="N83" s="9"/>
      <c r="O83" s="9"/>
      <c r="P83" s="9"/>
      <c r="Q83" s="9"/>
      <c r="R83" s="9"/>
      <c r="S83" s="10"/>
      <c r="T83" s="9"/>
      <c r="U83" s="10"/>
    </row>
    <row r="84" spans="1:21" ht="12.75">
      <c r="A84" s="6"/>
      <c r="B84" s="6"/>
      <c r="C84" s="6"/>
      <c r="D84" s="6"/>
      <c r="E84" s="6"/>
      <c r="F84" s="6"/>
      <c r="G84" s="15"/>
      <c r="H84" s="9"/>
      <c r="I84" s="9"/>
      <c r="J84" s="9"/>
      <c r="K84" s="9"/>
      <c r="L84" s="9"/>
      <c r="M84" s="9"/>
      <c r="N84" s="9"/>
      <c r="O84" s="9"/>
      <c r="P84" s="9"/>
      <c r="Q84" s="9"/>
      <c r="R84" s="9"/>
      <c r="S84" s="10"/>
      <c r="T84" s="9"/>
      <c r="U84" s="10"/>
    </row>
    <row r="85" spans="1:21" ht="12.75">
      <c r="A85" s="6"/>
      <c r="B85" s="6"/>
      <c r="C85" s="6"/>
      <c r="D85" s="6"/>
      <c r="E85" s="6"/>
      <c r="F85" s="6"/>
      <c r="G85" s="15"/>
      <c r="H85" s="9"/>
      <c r="I85" s="9"/>
      <c r="J85" s="9"/>
      <c r="K85" s="9"/>
      <c r="L85" s="9"/>
      <c r="M85" s="9"/>
      <c r="N85" s="9"/>
      <c r="O85" s="9"/>
      <c r="P85" s="9"/>
      <c r="Q85" s="9"/>
      <c r="R85" s="9"/>
      <c r="S85" s="10"/>
      <c r="T85" s="9"/>
      <c r="U85" s="10"/>
    </row>
    <row r="86" spans="1:21" ht="12.75">
      <c r="A86" s="6"/>
      <c r="C86" s="6"/>
      <c r="E86" s="6"/>
      <c r="G86" s="15"/>
      <c r="H86" s="9"/>
      <c r="I86" s="9"/>
      <c r="J86" s="9"/>
      <c r="K86" s="9"/>
      <c r="L86" s="9"/>
      <c r="M86" s="9"/>
      <c r="N86" s="9"/>
      <c r="O86" s="9"/>
      <c r="P86" s="9"/>
      <c r="Q86" s="9"/>
      <c r="R86" s="9"/>
      <c r="S86" s="10"/>
      <c r="T86" s="9"/>
      <c r="U86" s="10"/>
    </row>
    <row r="87" ht="12.75">
      <c r="G87" s="18"/>
    </row>
    <row r="88" ht="12.75">
      <c r="G88" s="18"/>
    </row>
    <row r="89" ht="12.75">
      <c r="G89" s="18"/>
    </row>
    <row r="90" ht="12.75">
      <c r="G90" s="18"/>
    </row>
    <row r="91" ht="12.75">
      <c r="G91" s="18"/>
    </row>
    <row r="92" ht="12.75">
      <c r="G92" s="18"/>
    </row>
    <row r="93" ht="12.75">
      <c r="G93" s="18"/>
    </row>
    <row r="94" ht="12.75">
      <c r="G94" s="18"/>
    </row>
    <row r="95" ht="12.75">
      <c r="G95" s="18"/>
    </row>
    <row r="96" ht="12.75">
      <c r="G96" s="18"/>
    </row>
    <row r="97" ht="12.75">
      <c r="G97" s="18"/>
    </row>
    <row r="98" ht="12.75">
      <c r="G98" s="18"/>
    </row>
    <row r="99" ht="12.75">
      <c r="G99" s="18"/>
    </row>
    <row r="100" ht="12.75">
      <c r="G100" s="18"/>
    </row>
    <row r="101" ht="12.75">
      <c r="G101" s="18"/>
    </row>
    <row r="102" ht="12.75">
      <c r="G102" s="18"/>
    </row>
    <row r="103" ht="12.75">
      <c r="G103" s="18"/>
    </row>
    <row r="104" ht="12.75">
      <c r="G104" s="18"/>
    </row>
    <row r="105" ht="12.75">
      <c r="G105" s="18"/>
    </row>
    <row r="106" ht="12.75">
      <c r="G106" s="18"/>
    </row>
    <row r="107" ht="12.75">
      <c r="G107" s="18"/>
    </row>
    <row r="108" ht="12.75">
      <c r="G108" s="18"/>
    </row>
    <row r="109" ht="12.75">
      <c r="G109" s="18"/>
    </row>
    <row r="110" ht="12.75">
      <c r="G110" s="18"/>
    </row>
    <row r="111" ht="12.75">
      <c r="G111" s="18"/>
    </row>
    <row r="112" ht="12.75">
      <c r="G112" s="18"/>
    </row>
    <row r="113" ht="12.75">
      <c r="G113" s="18"/>
    </row>
    <row r="114" ht="12.75">
      <c r="G114" s="18"/>
    </row>
    <row r="115" ht="12.75">
      <c r="G115" s="18"/>
    </row>
    <row r="116" ht="12.75">
      <c r="G116" s="18"/>
    </row>
    <row r="117" ht="12.75">
      <c r="G117" s="18"/>
    </row>
    <row r="118" spans="2:7" ht="12.75">
      <c r="B118" s="6"/>
      <c r="D118" s="6"/>
      <c r="F118" s="6"/>
      <c r="G118" s="18"/>
    </row>
    <row r="119" spans="1:21" ht="12.75">
      <c r="A119" s="6"/>
      <c r="B119" s="6"/>
      <c r="C119" s="6"/>
      <c r="D119" s="6"/>
      <c r="E119" s="6"/>
      <c r="F119" s="6"/>
      <c r="G119" s="15"/>
      <c r="H119" s="9"/>
      <c r="I119" s="9"/>
      <c r="J119" s="9"/>
      <c r="K119" s="9"/>
      <c r="L119" s="9"/>
      <c r="M119" s="9"/>
      <c r="N119" s="9"/>
      <c r="O119" s="9"/>
      <c r="P119" s="9"/>
      <c r="Q119" s="9"/>
      <c r="R119" s="9"/>
      <c r="S119" s="10"/>
      <c r="T119" s="9"/>
      <c r="U119" s="10"/>
    </row>
    <row r="120" spans="1:21" ht="12.75">
      <c r="A120" s="6"/>
      <c r="B120" s="6"/>
      <c r="C120" s="6"/>
      <c r="D120" s="6"/>
      <c r="E120" s="6"/>
      <c r="F120" s="6"/>
      <c r="G120" s="15"/>
      <c r="H120" s="9"/>
      <c r="I120" s="9"/>
      <c r="J120" s="9"/>
      <c r="K120" s="9"/>
      <c r="L120" s="9"/>
      <c r="M120" s="9"/>
      <c r="N120" s="9"/>
      <c r="O120" s="9"/>
      <c r="P120" s="9"/>
      <c r="Q120" s="9"/>
      <c r="R120" s="9"/>
      <c r="S120" s="10"/>
      <c r="T120" s="9"/>
      <c r="U120" s="10"/>
    </row>
    <row r="121" spans="1:21" ht="12.75">
      <c r="A121" s="6"/>
      <c r="B121" s="6"/>
      <c r="C121" s="6"/>
      <c r="D121" s="6"/>
      <c r="E121" s="6"/>
      <c r="F121" s="6"/>
      <c r="G121" s="15"/>
      <c r="H121" s="9"/>
      <c r="I121" s="9"/>
      <c r="J121" s="9"/>
      <c r="K121" s="9"/>
      <c r="L121" s="9"/>
      <c r="M121" s="9"/>
      <c r="N121" s="9"/>
      <c r="O121" s="9"/>
      <c r="P121" s="9"/>
      <c r="Q121" s="9"/>
      <c r="R121" s="9"/>
      <c r="S121" s="10"/>
      <c r="T121" s="9"/>
      <c r="U121" s="10"/>
    </row>
    <row r="122" spans="1:21" ht="12.75">
      <c r="A122" s="6"/>
      <c r="B122" s="6"/>
      <c r="C122" s="6"/>
      <c r="D122" s="6"/>
      <c r="E122" s="6"/>
      <c r="F122" s="6"/>
      <c r="G122" s="15"/>
      <c r="H122" s="9"/>
      <c r="I122" s="9"/>
      <c r="J122" s="9"/>
      <c r="K122" s="9"/>
      <c r="L122" s="9"/>
      <c r="M122" s="9"/>
      <c r="N122" s="9"/>
      <c r="O122" s="9"/>
      <c r="P122" s="9"/>
      <c r="Q122" s="9"/>
      <c r="R122" s="9"/>
      <c r="S122" s="10"/>
      <c r="T122" s="9"/>
      <c r="U122" s="10"/>
    </row>
    <row r="123" spans="1:21" ht="12.75">
      <c r="A123" s="6"/>
      <c r="B123" s="6"/>
      <c r="C123" s="6"/>
      <c r="D123" s="6"/>
      <c r="E123" s="6"/>
      <c r="F123" s="6"/>
      <c r="G123" s="15"/>
      <c r="H123" s="9"/>
      <c r="I123" s="9"/>
      <c r="J123" s="9"/>
      <c r="K123" s="9"/>
      <c r="L123" s="9"/>
      <c r="M123" s="9"/>
      <c r="N123" s="9"/>
      <c r="O123" s="9"/>
      <c r="P123" s="9"/>
      <c r="Q123" s="9"/>
      <c r="R123" s="9"/>
      <c r="S123" s="10"/>
      <c r="T123" s="9"/>
      <c r="U123" s="10"/>
    </row>
    <row r="124" spans="1:21" ht="12.75">
      <c r="A124" s="6"/>
      <c r="B124" s="6"/>
      <c r="C124" s="6"/>
      <c r="D124" s="6"/>
      <c r="E124" s="6"/>
      <c r="F124" s="6"/>
      <c r="G124" s="15"/>
      <c r="H124" s="9"/>
      <c r="I124" s="9"/>
      <c r="J124" s="9"/>
      <c r="K124" s="9"/>
      <c r="L124" s="9"/>
      <c r="M124" s="9"/>
      <c r="N124" s="9"/>
      <c r="O124" s="9"/>
      <c r="P124" s="9"/>
      <c r="Q124" s="9"/>
      <c r="R124" s="9"/>
      <c r="S124" s="10"/>
      <c r="T124" s="9"/>
      <c r="U124" s="10"/>
    </row>
    <row r="125" spans="1:21" ht="12.75">
      <c r="A125" s="6"/>
      <c r="C125" s="6"/>
      <c r="E125" s="6"/>
      <c r="G125" s="15"/>
      <c r="H125" s="9"/>
      <c r="I125" s="9"/>
      <c r="J125" s="9"/>
      <c r="K125" s="9"/>
      <c r="L125" s="9"/>
      <c r="M125" s="9"/>
      <c r="N125" s="9"/>
      <c r="O125" s="9"/>
      <c r="P125" s="9"/>
      <c r="Q125" s="9"/>
      <c r="R125" s="9"/>
      <c r="S125" s="10"/>
      <c r="T125" s="10"/>
      <c r="U125" s="10"/>
    </row>
    <row r="126" ht="12.75">
      <c r="G126" s="18"/>
    </row>
    <row r="127" ht="12.75">
      <c r="G127" s="18"/>
    </row>
    <row r="128" ht="12.75">
      <c r="G128" s="18"/>
    </row>
    <row r="129" ht="12.75">
      <c r="G129" s="18"/>
    </row>
    <row r="130" ht="12.75">
      <c r="G130" s="18"/>
    </row>
    <row r="131" ht="12.75">
      <c r="G131" s="18"/>
    </row>
    <row r="132" ht="12.75">
      <c r="G132" s="18"/>
    </row>
    <row r="133" ht="12.75">
      <c r="G133" s="18"/>
    </row>
    <row r="134" ht="12.75">
      <c r="G134" s="18"/>
    </row>
    <row r="135" ht="12.75">
      <c r="G135" s="18"/>
    </row>
    <row r="136" ht="12.75">
      <c r="G136" s="18"/>
    </row>
    <row r="137" ht="12.75">
      <c r="G137" s="18"/>
    </row>
    <row r="138" ht="12.75">
      <c r="G138" s="18"/>
    </row>
    <row r="139" ht="12.75">
      <c r="G139" s="18"/>
    </row>
    <row r="140" ht="12.75">
      <c r="G140" s="18"/>
    </row>
    <row r="141" ht="12.75">
      <c r="G141" s="18"/>
    </row>
    <row r="142" ht="12.75">
      <c r="G142" s="18"/>
    </row>
    <row r="143" ht="12.75">
      <c r="G143" s="18"/>
    </row>
    <row r="144" ht="12.75">
      <c r="G144" s="18"/>
    </row>
    <row r="145" ht="12.75">
      <c r="G145" s="18"/>
    </row>
    <row r="146" ht="12.75">
      <c r="G146" s="18"/>
    </row>
    <row r="147" ht="12.75">
      <c r="G147" s="18"/>
    </row>
    <row r="148" ht="12.75">
      <c r="G148" s="18"/>
    </row>
    <row r="149" ht="12.75">
      <c r="G149" s="18"/>
    </row>
    <row r="150" ht="12.75">
      <c r="G150" s="18"/>
    </row>
    <row r="151" ht="12.75">
      <c r="G151" s="18"/>
    </row>
    <row r="152" ht="12.75">
      <c r="G152" s="18"/>
    </row>
    <row r="153" ht="12.75">
      <c r="G153" s="18"/>
    </row>
    <row r="154" ht="12.75">
      <c r="G154" s="18"/>
    </row>
    <row r="155" ht="12.75">
      <c r="G155" s="18"/>
    </row>
    <row r="156" ht="12.75">
      <c r="G156" s="18"/>
    </row>
    <row r="157" ht="12.75">
      <c r="G157" s="18"/>
    </row>
    <row r="158" spans="2:7" ht="12.75">
      <c r="B158" s="6"/>
      <c r="D158" s="6"/>
      <c r="F158" s="6"/>
      <c r="G158" s="18"/>
    </row>
    <row r="159" spans="1:21" ht="12.75">
      <c r="A159" s="6"/>
      <c r="B159" s="6"/>
      <c r="C159" s="6"/>
      <c r="D159" s="6"/>
      <c r="E159" s="6"/>
      <c r="F159" s="6"/>
      <c r="G159" s="15"/>
      <c r="H159" s="9"/>
      <c r="I159" s="9"/>
      <c r="J159" s="9"/>
      <c r="K159" s="9"/>
      <c r="L159" s="9"/>
      <c r="M159" s="9"/>
      <c r="N159" s="9"/>
      <c r="O159" s="9"/>
      <c r="P159" s="9"/>
      <c r="Q159" s="9"/>
      <c r="R159" s="9"/>
      <c r="S159" s="10"/>
      <c r="T159" s="9"/>
      <c r="U159" s="10"/>
    </row>
    <row r="160" spans="1:21" ht="12.75">
      <c r="A160" s="6"/>
      <c r="B160" s="6"/>
      <c r="C160" s="6"/>
      <c r="D160" s="6"/>
      <c r="E160" s="6"/>
      <c r="F160" s="6"/>
      <c r="G160" s="15"/>
      <c r="H160" s="9"/>
      <c r="I160" s="9"/>
      <c r="J160" s="9"/>
      <c r="K160" s="9"/>
      <c r="L160" s="9"/>
      <c r="M160" s="9"/>
      <c r="N160" s="9"/>
      <c r="O160" s="9"/>
      <c r="P160" s="9"/>
      <c r="Q160" s="9"/>
      <c r="R160" s="9"/>
      <c r="S160" s="10"/>
      <c r="T160" s="9"/>
      <c r="U160" s="10"/>
    </row>
    <row r="161" spans="1:21" ht="12.75">
      <c r="A161" s="6"/>
      <c r="B161" s="6"/>
      <c r="C161" s="6"/>
      <c r="D161" s="6"/>
      <c r="E161" s="6"/>
      <c r="F161" s="6"/>
      <c r="G161" s="15"/>
      <c r="H161" s="9"/>
      <c r="I161" s="9"/>
      <c r="J161" s="9"/>
      <c r="K161" s="9"/>
      <c r="L161" s="9"/>
      <c r="M161" s="9"/>
      <c r="N161" s="9"/>
      <c r="O161" s="9"/>
      <c r="P161" s="9"/>
      <c r="Q161" s="9"/>
      <c r="R161" s="9"/>
      <c r="S161" s="10"/>
      <c r="T161" s="9"/>
      <c r="U161" s="10"/>
    </row>
    <row r="162" spans="1:21" ht="12.75">
      <c r="A162" s="6"/>
      <c r="B162" s="6"/>
      <c r="C162" s="6"/>
      <c r="D162" s="6"/>
      <c r="E162" s="6"/>
      <c r="F162" s="6"/>
      <c r="G162" s="15"/>
      <c r="H162" s="9"/>
      <c r="I162" s="9"/>
      <c r="J162" s="9"/>
      <c r="K162" s="9"/>
      <c r="L162" s="9"/>
      <c r="M162" s="9"/>
      <c r="N162" s="9"/>
      <c r="O162" s="9"/>
      <c r="P162" s="9"/>
      <c r="Q162" s="9"/>
      <c r="R162" s="9"/>
      <c r="S162" s="10"/>
      <c r="T162" s="9"/>
      <c r="U162" s="10"/>
    </row>
    <row r="163" spans="1:21" ht="12.75">
      <c r="A163" s="6"/>
      <c r="B163" s="6"/>
      <c r="C163" s="6"/>
      <c r="D163" s="6"/>
      <c r="E163" s="6"/>
      <c r="F163" s="6"/>
      <c r="G163" s="15"/>
      <c r="H163" s="9"/>
      <c r="I163" s="9"/>
      <c r="J163" s="9"/>
      <c r="K163" s="9"/>
      <c r="L163" s="9"/>
      <c r="M163" s="9"/>
      <c r="N163" s="9"/>
      <c r="O163" s="9"/>
      <c r="P163" s="9"/>
      <c r="Q163" s="9"/>
      <c r="R163" s="9"/>
      <c r="S163" s="10"/>
      <c r="T163" s="9"/>
      <c r="U163" s="10"/>
    </row>
    <row r="164" spans="1:21" ht="12.75">
      <c r="A164" s="6"/>
      <c r="B164" s="6"/>
      <c r="C164" s="6"/>
      <c r="D164" s="6"/>
      <c r="E164" s="6"/>
      <c r="F164" s="6"/>
      <c r="G164" s="15"/>
      <c r="H164" s="9"/>
      <c r="I164" s="9"/>
      <c r="J164" s="9"/>
      <c r="K164" s="9"/>
      <c r="L164" s="9"/>
      <c r="M164" s="9"/>
      <c r="N164" s="9"/>
      <c r="O164" s="9"/>
      <c r="P164" s="9"/>
      <c r="Q164" s="9"/>
      <c r="R164" s="9"/>
      <c r="S164" s="10"/>
      <c r="T164" s="9"/>
      <c r="U164" s="10"/>
    </row>
    <row r="165" spans="1:21" ht="12.75">
      <c r="A165" s="6"/>
      <c r="C165" s="6"/>
      <c r="E165" s="6"/>
      <c r="G165" s="15"/>
      <c r="H165" s="9"/>
      <c r="I165" s="9"/>
      <c r="J165" s="9"/>
      <c r="K165" s="9"/>
      <c r="L165" s="9"/>
      <c r="M165" s="9"/>
      <c r="N165" s="9"/>
      <c r="O165" s="9"/>
      <c r="P165" s="9"/>
      <c r="Q165" s="9"/>
      <c r="R165" s="9"/>
      <c r="S165" s="10"/>
      <c r="T165" s="9"/>
      <c r="U165" s="10"/>
    </row>
  </sheetData>
  <sheetProtection/>
  <conditionalFormatting sqref="E3:E32">
    <cfRule type="cellIs" priority="1" dxfId="1" operator="equal" stopIfTrue="1">
      <formula>$C$37</formula>
    </cfRule>
  </conditionalFormatting>
  <conditionalFormatting sqref="D4">
    <cfRule type="expression" priority="2" dxfId="16" stopIfTrue="1">
      <formula>$D$36=9</formula>
    </cfRule>
    <cfRule type="expression" priority="3" dxfId="52" stopIfTrue="1">
      <formula>$D$36=13</formula>
    </cfRule>
  </conditionalFormatting>
  <conditionalFormatting sqref="D10">
    <cfRule type="expression" priority="4" dxfId="52" stopIfTrue="1">
      <formula>$D$36=7</formula>
    </cfRule>
  </conditionalFormatting>
  <conditionalFormatting sqref="D13">
    <cfRule type="expression" priority="5" dxfId="52" stopIfTrue="1">
      <formula>$D$36=4</formula>
    </cfRule>
  </conditionalFormatting>
  <conditionalFormatting sqref="D15">
    <cfRule type="expression" priority="6" dxfId="52" stopIfTrue="1">
      <formula>$D$36=12</formula>
    </cfRule>
  </conditionalFormatting>
  <conditionalFormatting sqref="D5">
    <cfRule type="expression" priority="7" dxfId="16" stopIfTrue="1">
      <formula>$D$36=17</formula>
    </cfRule>
    <cfRule type="expression" priority="8" dxfId="52" stopIfTrue="1">
      <formula>$D$36=2</formula>
    </cfRule>
  </conditionalFormatting>
  <conditionalFormatting sqref="D6">
    <cfRule type="expression" priority="9" dxfId="16" stopIfTrue="1">
      <formula>$D$36=6</formula>
    </cfRule>
  </conditionalFormatting>
  <conditionalFormatting sqref="D7">
    <cfRule type="expression" priority="10" dxfId="52" stopIfTrue="1">
      <formula>$D$36=10</formula>
    </cfRule>
  </conditionalFormatting>
  <conditionalFormatting sqref="D9">
    <cfRule type="expression" priority="11" dxfId="52" stopIfTrue="1">
      <formula>$D$36=18</formula>
    </cfRule>
  </conditionalFormatting>
  <conditionalFormatting sqref="D12">
    <cfRule type="expression" priority="12" dxfId="52" stopIfTrue="1">
      <formula>$D$36=15</formula>
    </cfRule>
  </conditionalFormatting>
  <conditionalFormatting sqref="D16">
    <cfRule type="expression" priority="13" dxfId="52" stopIfTrue="1">
      <formula>$D$36=1</formula>
    </cfRule>
  </conditionalFormatting>
  <conditionalFormatting sqref="D18">
    <cfRule type="expression" priority="14" dxfId="52" stopIfTrue="1">
      <formula>$D$36=9</formula>
    </cfRule>
  </conditionalFormatting>
  <conditionalFormatting sqref="D19">
    <cfRule type="expression" priority="15" dxfId="52" stopIfTrue="1">
      <formula>$D$36=17</formula>
    </cfRule>
  </conditionalFormatting>
  <conditionalFormatting sqref="D20">
    <cfRule type="expression" priority="16" dxfId="52" stopIfTrue="1">
      <formula>$D$36=6</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U37"/>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178</v>
      </c>
      <c r="B1" s="118"/>
      <c r="C1" s="123"/>
      <c r="D1" s="119" t="str">
        <f>ROMAN(Location!$B$6)</f>
        <v>MMIX</v>
      </c>
      <c r="E1" s="118"/>
      <c r="F1" s="118"/>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14</v>
      </c>
      <c r="T2" s="27" t="s">
        <v>15</v>
      </c>
      <c r="U2" s="27" t="s">
        <v>16</v>
      </c>
    </row>
    <row r="3" spans="1:21" ht="12.75">
      <c r="A3" s="5">
        <v>1</v>
      </c>
      <c r="B3" s="6" t="str">
        <f>Aprilis!B26</f>
        <v>Friday</v>
      </c>
      <c r="C3" s="59"/>
      <c r="D3" s="17"/>
      <c r="E3" s="8" t="s">
        <v>21</v>
      </c>
      <c r="F3" s="6" t="s">
        <v>18</v>
      </c>
      <c r="G3" s="46" t="s">
        <v>128</v>
      </c>
      <c r="H3" s="9">
        <f aca="true" t="shared" si="0" ref="H3:H33">(T3/2)+Q3-"12:00:00"</f>
        <v>12.05406014900052</v>
      </c>
      <c r="I3" s="9">
        <f aca="true" t="shared" si="1" ref="I3:I33">H3+((J3-H3)/2)</f>
        <v>6.165282810159659</v>
      </c>
      <c r="J3" s="9">
        <f aca="true" t="shared" si="2" ref="J3:J33">P3</f>
        <v>0.2765054713187978</v>
      </c>
      <c r="K3" s="9">
        <f aca="true" t="shared" si="3" ref="K3:K33">J3+((L3-J3)/2)</f>
        <v>0.41528281015965907</v>
      </c>
      <c r="L3" s="9">
        <f aca="true" t="shared" si="4" ref="L3:L33">(R3/2)+J3</f>
        <v>0.5540601490005204</v>
      </c>
      <c r="M3" s="9">
        <f aca="true" t="shared" si="5" ref="M3:M33">((N3-L3)/2)+L3</f>
        <v>0.6928374878413817</v>
      </c>
      <c r="N3" s="9">
        <f aca="true" t="shared" si="6" ref="N3:N33">Q3</f>
        <v>0.8316148266822428</v>
      </c>
      <c r="O3" s="9">
        <f aca="true" t="shared" si="7" ref="O3:O33">3*U3+N3</f>
        <v>0.9428374878413815</v>
      </c>
      <c r="P3" s="9">
        <f>sunrise(Location!$B$4,Location!$B$5,Location!$B$6,5,A3,Location!$B$7,IF(Location!$B$8="No",0,1))</f>
        <v>0.2765054713187978</v>
      </c>
      <c r="Q3" s="9">
        <f>sunset(Location!$B$4,Location!$B$5,Location!$B$6,5,A3,Location!$B$7,IF(Location!$B$8="No",0,1))</f>
        <v>0.8316148266822428</v>
      </c>
      <c r="R3" s="9">
        <f aca="true" t="shared" si="8" ref="R3:R33">Q3-P3</f>
        <v>0.555109355363445</v>
      </c>
      <c r="S3" s="10">
        <f aca="true" t="shared" si="9" ref="S3:S33">R3/12</f>
        <v>0.04625911294695375</v>
      </c>
      <c r="T3" s="9">
        <f aca="true" t="shared" si="10" ref="T3:T33">(24-(Q3-P3))</f>
        <v>23.444890644636555</v>
      </c>
      <c r="U3" s="10">
        <f aca="true" t="shared" si="11" ref="U3:U33">"1:00:00"-S3+"1:00:00"</f>
        <v>0.03707422038637958</v>
      </c>
    </row>
    <row r="4" spans="1:21" ht="12.75">
      <c r="A4" s="5">
        <v>2</v>
      </c>
      <c r="B4" s="6" t="str">
        <f>Aprilis!B27</f>
        <v>Saturday</v>
      </c>
      <c r="C4" s="59"/>
      <c r="D4" s="17" t="s">
        <v>64</v>
      </c>
      <c r="E4" s="8" t="s">
        <v>24</v>
      </c>
      <c r="F4" s="6" t="s">
        <v>90</v>
      </c>
      <c r="G4" s="134"/>
      <c r="H4" s="9">
        <f t="shared" si="0"/>
        <v>12.05398231223179</v>
      </c>
      <c r="I4" s="9">
        <f t="shared" si="1"/>
        <v>6.164945797734439</v>
      </c>
      <c r="J4" s="9">
        <f t="shared" si="2"/>
        <v>0.2759092832370872</v>
      </c>
      <c r="K4" s="9">
        <f t="shared" si="3"/>
        <v>0.41494579773443846</v>
      </c>
      <c r="L4" s="9">
        <f t="shared" si="4"/>
        <v>0.5539823122317897</v>
      </c>
      <c r="M4" s="9">
        <f t="shared" si="5"/>
        <v>0.693018826729141</v>
      </c>
      <c r="N4" s="9">
        <f t="shared" si="6"/>
        <v>0.8320553412264922</v>
      </c>
      <c r="O4" s="9">
        <f t="shared" si="7"/>
        <v>0.9430188267291408</v>
      </c>
      <c r="P4" s="9">
        <f>sunrise(Location!$B$4,Location!$B$5,Location!$B$6,5,A4,Location!$B$7,IF(Location!$B$8="No",0,1))</f>
        <v>0.2759092832370872</v>
      </c>
      <c r="Q4" s="9">
        <f>sunset(Location!$B$4,Location!$B$5,Location!$B$6,5,A4,Location!$B$7,IF(Location!$B$8="No",0,1))</f>
        <v>0.8320553412264922</v>
      </c>
      <c r="R4" s="9">
        <f t="shared" si="8"/>
        <v>0.556146057989405</v>
      </c>
      <c r="S4" s="10">
        <f t="shared" si="9"/>
        <v>0.04634550483245042</v>
      </c>
      <c r="T4" s="9">
        <f t="shared" si="10"/>
        <v>23.443853942010595</v>
      </c>
      <c r="U4" s="10">
        <f t="shared" si="11"/>
        <v>0.03698782850088291</v>
      </c>
    </row>
    <row r="5" spans="1:21" ht="12.75">
      <c r="A5" s="5">
        <v>3</v>
      </c>
      <c r="B5" s="6" t="str">
        <f>Aprilis!B28</f>
        <v>Sunday</v>
      </c>
      <c r="C5" s="59"/>
      <c r="D5" s="17" t="s">
        <v>67</v>
      </c>
      <c r="E5" s="8" t="s">
        <v>26</v>
      </c>
      <c r="F5" s="6" t="s">
        <v>92</v>
      </c>
      <c r="G5" s="130" t="s">
        <v>292</v>
      </c>
      <c r="H5" s="9">
        <f t="shared" si="0"/>
        <v>12.053910730203452</v>
      </c>
      <c r="I5" s="9">
        <f t="shared" si="1"/>
        <v>6.1646178414272494</v>
      </c>
      <c r="J5" s="9">
        <f t="shared" si="2"/>
        <v>0.27532495265104745</v>
      </c>
      <c r="K5" s="9">
        <f t="shared" si="3"/>
        <v>0.41461784142724945</v>
      </c>
      <c r="L5" s="9">
        <f t="shared" si="4"/>
        <v>0.5539107302034514</v>
      </c>
      <c r="M5" s="9">
        <f t="shared" si="5"/>
        <v>0.6932036189796534</v>
      </c>
      <c r="N5" s="9">
        <f t="shared" si="6"/>
        <v>0.8324965077558555</v>
      </c>
      <c r="O5" s="9">
        <f t="shared" si="7"/>
        <v>0.9432036189796534</v>
      </c>
      <c r="P5" s="9">
        <f>sunrise(Location!$B$4,Location!$B$5,Location!$B$6,5,A5,Location!$B$7,IF(Location!$B$8="No",0,1))</f>
        <v>0.27532495265104745</v>
      </c>
      <c r="Q5" s="9">
        <f>sunset(Location!$B$4,Location!$B$5,Location!$B$6,5,A5,Location!$B$7,IF(Location!$B$8="No",0,1))</f>
        <v>0.8324965077558555</v>
      </c>
      <c r="R5" s="9">
        <f t="shared" si="8"/>
        <v>0.557171555104808</v>
      </c>
      <c r="S5" s="10">
        <f t="shared" si="9"/>
        <v>0.046430962925400665</v>
      </c>
      <c r="T5" s="9">
        <f t="shared" si="10"/>
        <v>23.44282844489519</v>
      </c>
      <c r="U5" s="10">
        <f t="shared" si="11"/>
        <v>0.036902370407932664</v>
      </c>
    </row>
    <row r="6" spans="1:21" ht="12.75">
      <c r="A6" s="5">
        <v>4</v>
      </c>
      <c r="B6" s="6" t="str">
        <f>Aprilis!B29</f>
        <v>Monday</v>
      </c>
      <c r="C6" s="59"/>
      <c r="D6" s="17" t="s">
        <v>69</v>
      </c>
      <c r="E6" s="8" t="s">
        <v>29</v>
      </c>
      <c r="F6" s="6" t="s">
        <v>93</v>
      </c>
      <c r="G6" s="130" t="s">
        <v>291</v>
      </c>
      <c r="H6" s="9">
        <f t="shared" si="0"/>
        <v>12.053845467953026</v>
      </c>
      <c r="I6" s="9">
        <f t="shared" si="1"/>
        <v>6.164299102903356</v>
      </c>
      <c r="J6" s="9">
        <f t="shared" si="2"/>
        <v>0.2747527378536855</v>
      </c>
      <c r="K6" s="9">
        <f t="shared" si="3"/>
        <v>0.4142991029033562</v>
      </c>
      <c r="L6" s="9">
        <f t="shared" si="4"/>
        <v>0.5538454679530269</v>
      </c>
      <c r="M6" s="9">
        <f t="shared" si="5"/>
        <v>0.6933918330026976</v>
      </c>
      <c r="N6" s="9">
        <f t="shared" si="6"/>
        <v>0.8329381980523682</v>
      </c>
      <c r="O6" s="9">
        <f t="shared" si="7"/>
        <v>0.9433918330026976</v>
      </c>
      <c r="P6" s="9">
        <f>sunrise(Location!$B$4,Location!$B$5,Location!$B$6,5,A6,Location!$B$7,IF(Location!$B$8="No",0,1))</f>
        <v>0.2747527378536855</v>
      </c>
      <c r="Q6" s="9">
        <f>sunset(Location!$B$4,Location!$B$5,Location!$B$6,5,A6,Location!$B$7,IF(Location!$B$8="No",0,1))</f>
        <v>0.8329381980523682</v>
      </c>
      <c r="R6" s="9">
        <f t="shared" si="8"/>
        <v>0.5581854601986828</v>
      </c>
      <c r="S6" s="10">
        <f t="shared" si="9"/>
        <v>0.0465154550165569</v>
      </c>
      <c r="T6" s="9">
        <f t="shared" si="10"/>
        <v>23.441814539801317</v>
      </c>
      <c r="U6" s="10">
        <f t="shared" si="11"/>
        <v>0.03681787831677643</v>
      </c>
    </row>
    <row r="7" spans="1:21" ht="12.75">
      <c r="A7" s="5">
        <v>5</v>
      </c>
      <c r="B7" s="6" t="str">
        <f>Aprilis!B30</f>
        <v>Tuesday</v>
      </c>
      <c r="C7" s="59"/>
      <c r="D7" s="17"/>
      <c r="E7" s="8" t="s">
        <v>32</v>
      </c>
      <c r="F7" s="6" t="s">
        <v>94</v>
      </c>
      <c r="G7" s="129"/>
      <c r="H7" s="9">
        <f t="shared" si="0"/>
        <v>12.05378658270673</v>
      </c>
      <c r="I7" s="9">
        <f t="shared" si="1"/>
        <v>6.163989737570024</v>
      </c>
      <c r="J7" s="9">
        <f t="shared" si="2"/>
        <v>0.27419289243331774</v>
      </c>
      <c r="K7" s="9">
        <f t="shared" si="3"/>
        <v>0.4139897375700232</v>
      </c>
      <c r="L7" s="9">
        <f t="shared" si="4"/>
        <v>0.5537865827067288</v>
      </c>
      <c r="M7" s="9">
        <f t="shared" si="5"/>
        <v>0.6935834278434343</v>
      </c>
      <c r="N7" s="9">
        <f t="shared" si="6"/>
        <v>0.8333802729801397</v>
      </c>
      <c r="O7" s="9">
        <f t="shared" si="7"/>
        <v>0.9435834278434342</v>
      </c>
      <c r="P7" s="9">
        <f>sunrise(Location!$B$4,Location!$B$5,Location!$B$6,5,A7,Location!$B$7,IF(Location!$B$8="No",0,1))</f>
        <v>0.27419289243331774</v>
      </c>
      <c r="Q7" s="9">
        <f>sunset(Location!$B$4,Location!$B$5,Location!$B$6,5,A7,Location!$B$7,IF(Location!$B$8="No",0,1))</f>
        <v>0.8333802729801397</v>
      </c>
      <c r="R7" s="9">
        <f t="shared" si="8"/>
        <v>0.5591873805468219</v>
      </c>
      <c r="S7" s="10">
        <f t="shared" si="9"/>
        <v>0.04659894837890183</v>
      </c>
      <c r="T7" s="9">
        <f t="shared" si="10"/>
        <v>23.44081261945318</v>
      </c>
      <c r="U7" s="10">
        <f t="shared" si="11"/>
        <v>0.0367343849544315</v>
      </c>
    </row>
    <row r="8" spans="1:21" ht="12.75">
      <c r="A8" s="5">
        <v>6</v>
      </c>
      <c r="B8" s="6" t="str">
        <f>Aprilis!B31</f>
        <v>Wednesday</v>
      </c>
      <c r="C8" s="59"/>
      <c r="D8" s="17" t="s">
        <v>72</v>
      </c>
      <c r="E8" s="8" t="s">
        <v>36</v>
      </c>
      <c r="F8" s="6" t="s">
        <v>27</v>
      </c>
      <c r="G8" s="129"/>
      <c r="H8" s="9">
        <f t="shared" si="0"/>
        <v>12.053734123701052</v>
      </c>
      <c r="I8" s="9">
        <f t="shared" si="1"/>
        <v>6.163689894335666</v>
      </c>
      <c r="J8" s="9">
        <f t="shared" si="2"/>
        <v>0.2736456649702799</v>
      </c>
      <c r="K8" s="9">
        <f t="shared" si="3"/>
        <v>0.4136898943356653</v>
      </c>
      <c r="L8" s="9">
        <f t="shared" si="4"/>
        <v>0.5537341237010507</v>
      </c>
      <c r="M8" s="9">
        <f t="shared" si="5"/>
        <v>0.6937783530664361</v>
      </c>
      <c r="N8" s="9">
        <f t="shared" si="6"/>
        <v>0.8338225824318215</v>
      </c>
      <c r="O8" s="9">
        <f t="shared" si="7"/>
        <v>0.9437783530664361</v>
      </c>
      <c r="P8" s="9">
        <f>sunrise(Location!$B$4,Location!$B$5,Location!$B$6,5,A8,Location!$B$7,IF(Location!$B$8="No",0,1))</f>
        <v>0.2736456649702799</v>
      </c>
      <c r="Q8" s="9">
        <f>sunset(Location!$B$4,Location!$B$5,Location!$B$6,5,A8,Location!$B$7,IF(Location!$B$8="No",0,1))</f>
        <v>0.8338225824318215</v>
      </c>
      <c r="R8" s="9">
        <f t="shared" si="8"/>
        <v>0.5601769174615416</v>
      </c>
      <c r="S8" s="10">
        <f t="shared" si="9"/>
        <v>0.0466814097884618</v>
      </c>
      <c r="T8" s="9">
        <f t="shared" si="10"/>
        <v>23.43982308253846</v>
      </c>
      <c r="U8" s="10">
        <f t="shared" si="11"/>
        <v>0.036651923544871526</v>
      </c>
    </row>
    <row r="9" spans="1:21" ht="12.75">
      <c r="A9" s="5">
        <v>7</v>
      </c>
      <c r="B9" s="6" t="str">
        <f>Aprilis!B32</f>
        <v>Thursday</v>
      </c>
      <c r="C9" s="59"/>
      <c r="D9" s="17" t="s">
        <v>75</v>
      </c>
      <c r="E9" s="8" t="s">
        <v>17</v>
      </c>
      <c r="F9" s="6" t="s">
        <v>30</v>
      </c>
      <c r="G9" s="129"/>
      <c r="H9" s="9">
        <f t="shared" si="0"/>
        <v>12.053688132010677</v>
      </c>
      <c r="I9" s="9">
        <f t="shared" si="1"/>
        <v>6.163399715368021</v>
      </c>
      <c r="J9" s="9">
        <f t="shared" si="2"/>
        <v>0.2731112987253638</v>
      </c>
      <c r="K9" s="9">
        <f t="shared" si="3"/>
        <v>0.4133997153680202</v>
      </c>
      <c r="L9" s="9">
        <f t="shared" si="4"/>
        <v>0.5536881320106766</v>
      </c>
      <c r="M9" s="9">
        <f t="shared" si="5"/>
        <v>0.6939765486533329</v>
      </c>
      <c r="N9" s="9">
        <f t="shared" si="6"/>
        <v>0.8342649652959894</v>
      </c>
      <c r="O9" s="9">
        <f t="shared" si="7"/>
        <v>0.9439765486533329</v>
      </c>
      <c r="P9" s="9">
        <f>sunrise(Location!$B$4,Location!$B$5,Location!$B$6,5,A9,Location!$B$7,IF(Location!$B$8="No",0,1))</f>
        <v>0.2731112987253638</v>
      </c>
      <c r="Q9" s="9">
        <f>sunset(Location!$B$4,Location!$B$5,Location!$B$6,5,A9,Location!$B$7,IF(Location!$B$8="No",0,1))</f>
        <v>0.8342649652959894</v>
      </c>
      <c r="R9" s="9">
        <f t="shared" si="8"/>
        <v>0.5611536665706256</v>
      </c>
      <c r="S9" s="10">
        <f t="shared" si="9"/>
        <v>0.04676280554755213</v>
      </c>
      <c r="T9" s="9">
        <f t="shared" si="10"/>
        <v>23.438846333429375</v>
      </c>
      <c r="U9" s="10">
        <f t="shared" si="11"/>
        <v>0.036570527785781196</v>
      </c>
    </row>
    <row r="10" spans="1:21" ht="12.75">
      <c r="A10" s="5">
        <v>8</v>
      </c>
      <c r="B10" s="6" t="str">
        <f aca="true" t="shared" si="12" ref="B10:B16">B3</f>
        <v>Friday</v>
      </c>
      <c r="C10" s="59"/>
      <c r="D10" s="17"/>
      <c r="E10" s="8" t="s">
        <v>21</v>
      </c>
      <c r="F10" s="6" t="s">
        <v>95</v>
      </c>
      <c r="G10" s="129"/>
      <c r="H10" s="9">
        <f t="shared" si="0"/>
        <v>12.053648640387333</v>
      </c>
      <c r="I10" s="9">
        <f t="shared" si="1"/>
        <v>6.163119335854912</v>
      </c>
      <c r="J10" s="9">
        <f t="shared" si="2"/>
        <v>0.2725900313224896</v>
      </c>
      <c r="K10" s="9">
        <f t="shared" si="3"/>
        <v>0.4131193358549118</v>
      </c>
      <c r="L10" s="9">
        <f t="shared" si="4"/>
        <v>0.553648640387334</v>
      </c>
      <c r="M10" s="9">
        <f t="shared" si="5"/>
        <v>0.6941779449197563</v>
      </c>
      <c r="N10" s="9">
        <f t="shared" si="6"/>
        <v>0.8347072494521784</v>
      </c>
      <c r="O10" s="9">
        <f t="shared" si="7"/>
        <v>0.9441779449197563</v>
      </c>
      <c r="P10" s="9">
        <f>sunrise(Location!$B$4,Location!$B$5,Location!$B$6,5,A10,Location!$B$7,IF(Location!$B$8="No",0,1))</f>
        <v>0.2725900313224896</v>
      </c>
      <c r="Q10" s="9">
        <f>sunset(Location!$B$4,Location!$B$5,Location!$B$6,5,A10,Location!$B$7,IF(Location!$B$8="No",0,1))</f>
        <v>0.8347072494521784</v>
      </c>
      <c r="R10" s="9">
        <f t="shared" si="8"/>
        <v>0.5621172181296888</v>
      </c>
      <c r="S10" s="10">
        <f t="shared" si="9"/>
        <v>0.0468431015108074</v>
      </c>
      <c r="T10" s="9">
        <f t="shared" si="10"/>
        <v>23.43788278187031</v>
      </c>
      <c r="U10" s="10">
        <f t="shared" si="11"/>
        <v>0.03649023182252593</v>
      </c>
    </row>
    <row r="11" spans="1:21" ht="12.75">
      <c r="A11" s="5">
        <v>9</v>
      </c>
      <c r="B11" s="6" t="str">
        <f t="shared" si="12"/>
        <v>Saturday</v>
      </c>
      <c r="C11" s="59"/>
      <c r="D11" s="17" t="s">
        <v>20</v>
      </c>
      <c r="E11" s="8" t="s">
        <v>24</v>
      </c>
      <c r="F11" s="6" t="s">
        <v>96</v>
      </c>
      <c r="G11" s="134"/>
      <c r="H11" s="9">
        <f t="shared" si="0"/>
        <v>12.053615673103591</v>
      </c>
      <c r="I11" s="9">
        <f t="shared" si="1"/>
        <v>6.162848883762061</v>
      </c>
      <c r="J11" s="9">
        <f t="shared" si="2"/>
        <v>0.272082094420532</v>
      </c>
      <c r="K11" s="9">
        <f t="shared" si="3"/>
        <v>0.4128488837620614</v>
      </c>
      <c r="L11" s="9">
        <f t="shared" si="4"/>
        <v>0.5536156731035908</v>
      </c>
      <c r="M11" s="9">
        <f t="shared" si="5"/>
        <v>0.6943824624451203</v>
      </c>
      <c r="N11" s="9">
        <f t="shared" si="6"/>
        <v>0.8351492517866496</v>
      </c>
      <c r="O11" s="9">
        <f t="shared" si="7"/>
        <v>0.9443824624451201</v>
      </c>
      <c r="P11" s="9">
        <f>sunrise(Location!$B$4,Location!$B$5,Location!$B$6,5,A11,Location!$B$7,IF(Location!$B$8="No",0,1))</f>
        <v>0.272082094420532</v>
      </c>
      <c r="Q11" s="9">
        <f>sunset(Location!$B$4,Location!$B$5,Location!$B$6,5,A11,Location!$B$7,IF(Location!$B$8="No",0,1))</f>
        <v>0.8351492517866496</v>
      </c>
      <c r="R11" s="9">
        <f t="shared" si="8"/>
        <v>0.5630671573661176</v>
      </c>
      <c r="S11" s="10">
        <f t="shared" si="9"/>
        <v>0.04692226311384313</v>
      </c>
      <c r="T11" s="9">
        <f t="shared" si="10"/>
        <v>23.436932842633883</v>
      </c>
      <c r="U11" s="10">
        <f t="shared" si="11"/>
        <v>0.0364110702194902</v>
      </c>
    </row>
    <row r="12" spans="1:21" ht="12.75">
      <c r="A12" s="5">
        <v>10</v>
      </c>
      <c r="B12" s="6" t="str">
        <f t="shared" si="12"/>
        <v>Sunday</v>
      </c>
      <c r="C12" s="59"/>
      <c r="D12" s="17"/>
      <c r="E12" s="8" t="s">
        <v>26</v>
      </c>
      <c r="F12" s="6" t="s">
        <v>97</v>
      </c>
      <c r="G12" s="130" t="s">
        <v>293</v>
      </c>
      <c r="H12" s="9">
        <f t="shared" si="0"/>
        <v>12.053589245810054</v>
      </c>
      <c r="I12" s="9">
        <f t="shared" si="1"/>
        <v>6.162588479596596</v>
      </c>
      <c r="J12" s="9">
        <f t="shared" si="2"/>
        <v>0.2715877133831381</v>
      </c>
      <c r="K12" s="9">
        <f t="shared" si="3"/>
        <v>0.41258847959659584</v>
      </c>
      <c r="L12" s="9">
        <f t="shared" si="4"/>
        <v>0.5535892458100535</v>
      </c>
      <c r="M12" s="9">
        <f t="shared" si="5"/>
        <v>0.6945900120235113</v>
      </c>
      <c r="N12" s="9">
        <f t="shared" si="6"/>
        <v>0.8355907782369691</v>
      </c>
      <c r="O12" s="9">
        <f t="shared" si="7"/>
        <v>0.9445900120235113</v>
      </c>
      <c r="P12" s="9">
        <f>sunrise(Location!$B$4,Location!$B$5,Location!$B$6,5,A12,Location!$B$7,IF(Location!$B$8="No",0,1))</f>
        <v>0.2715877133831381</v>
      </c>
      <c r="Q12" s="9">
        <f>sunset(Location!$B$4,Location!$B$5,Location!$B$6,5,A12,Location!$B$7,IF(Location!$B$8="No",0,1))</f>
        <v>0.8355907782369691</v>
      </c>
      <c r="R12" s="9">
        <f t="shared" si="8"/>
        <v>0.564003064853831</v>
      </c>
      <c r="S12" s="10">
        <f t="shared" si="9"/>
        <v>0.047000255404485915</v>
      </c>
      <c r="T12" s="9">
        <f t="shared" si="10"/>
        <v>23.435996935146168</v>
      </c>
      <c r="U12" s="10">
        <f t="shared" si="11"/>
        <v>0.036333077928847414</v>
      </c>
    </row>
    <row r="13" spans="1:21" ht="12.75">
      <c r="A13" s="5">
        <v>11</v>
      </c>
      <c r="B13" s="6" t="str">
        <f t="shared" si="12"/>
        <v>Monday</v>
      </c>
      <c r="C13" s="59"/>
      <c r="D13" s="17" t="s">
        <v>23</v>
      </c>
      <c r="E13" s="8" t="s">
        <v>29</v>
      </c>
      <c r="F13" s="6" t="s">
        <v>98</v>
      </c>
      <c r="G13" s="129"/>
      <c r="H13" s="9">
        <f t="shared" si="0"/>
        <v>12.05356936540007</v>
      </c>
      <c r="I13" s="9">
        <f t="shared" si="1"/>
        <v>6.162338236169184</v>
      </c>
      <c r="J13" s="9">
        <f t="shared" si="2"/>
        <v>0.27110710693829704</v>
      </c>
      <c r="K13" s="9">
        <f t="shared" si="3"/>
        <v>0.41233823616918364</v>
      </c>
      <c r="L13" s="9">
        <f t="shared" si="4"/>
        <v>0.5535693654000702</v>
      </c>
      <c r="M13" s="9">
        <f t="shared" si="5"/>
        <v>0.6948004946309567</v>
      </c>
      <c r="N13" s="9">
        <f t="shared" si="6"/>
        <v>0.8360316238618434</v>
      </c>
      <c r="O13" s="9">
        <f t="shared" si="7"/>
        <v>0.9448004946309567</v>
      </c>
      <c r="P13" s="9">
        <f>sunrise(Location!$B$4,Location!$B$5,Location!$B$6,5,A13,Location!$B$7,IF(Location!$B$8="No",0,1))</f>
        <v>0.27110710693829704</v>
      </c>
      <c r="Q13" s="9">
        <f>sunset(Location!$B$4,Location!$B$5,Location!$B$6,5,A13,Location!$B$7,IF(Location!$B$8="No",0,1))</f>
        <v>0.8360316238618434</v>
      </c>
      <c r="R13" s="9">
        <f t="shared" si="8"/>
        <v>0.5649245169235464</v>
      </c>
      <c r="S13" s="10">
        <f t="shared" si="9"/>
        <v>0.0470770430769622</v>
      </c>
      <c r="T13" s="9">
        <f t="shared" si="10"/>
        <v>23.435075483076453</v>
      </c>
      <c r="U13" s="10">
        <f t="shared" si="11"/>
        <v>0.03625629025637113</v>
      </c>
    </row>
    <row r="14" spans="1:21" ht="12.75">
      <c r="A14" s="5">
        <v>12</v>
      </c>
      <c r="B14" s="6" t="str">
        <f t="shared" si="12"/>
        <v>Tuesday</v>
      </c>
      <c r="C14" s="59"/>
      <c r="D14" s="17" t="s">
        <v>28</v>
      </c>
      <c r="E14" s="8" t="s">
        <v>32</v>
      </c>
      <c r="F14" s="6" t="s">
        <v>99</v>
      </c>
      <c r="G14" s="129"/>
      <c r="H14" s="9">
        <f t="shared" si="0"/>
        <v>12.053556029888714</v>
      </c>
      <c r="I14" s="9">
        <f t="shared" si="1"/>
        <v>6.162098258363072</v>
      </c>
      <c r="J14" s="9">
        <f t="shared" si="2"/>
        <v>0.27064048683742853</v>
      </c>
      <c r="K14" s="9">
        <f t="shared" si="3"/>
        <v>0.4120982583630718</v>
      </c>
      <c r="L14" s="9">
        <f t="shared" si="4"/>
        <v>0.553556029888715</v>
      </c>
      <c r="M14" s="9">
        <f t="shared" si="5"/>
        <v>0.6950138014143581</v>
      </c>
      <c r="N14" s="9">
        <f t="shared" si="6"/>
        <v>0.8364715729400013</v>
      </c>
      <c r="O14" s="9">
        <f t="shared" si="7"/>
        <v>0.9450138014143581</v>
      </c>
      <c r="P14" s="9">
        <f>sunrise(Location!$B$4,Location!$B$5,Location!$B$6,5,A14,Location!$B$7,IF(Location!$B$8="No",0,1))</f>
        <v>0.27064048683742853</v>
      </c>
      <c r="Q14" s="9">
        <f>sunset(Location!$B$4,Location!$B$5,Location!$B$6,5,A14,Location!$B$7,IF(Location!$B$8="No",0,1))</f>
        <v>0.8364715729400013</v>
      </c>
      <c r="R14" s="9">
        <f t="shared" si="8"/>
        <v>0.5658310861025728</v>
      </c>
      <c r="S14" s="10">
        <f t="shared" si="9"/>
        <v>0.04715259050854773</v>
      </c>
      <c r="T14" s="9">
        <f t="shared" si="10"/>
        <v>23.434168913897427</v>
      </c>
      <c r="U14" s="10">
        <f t="shared" si="11"/>
        <v>0.036180742824785596</v>
      </c>
    </row>
    <row r="15" spans="1:21" ht="12.75">
      <c r="A15" s="5">
        <v>13</v>
      </c>
      <c r="B15" s="6" t="str">
        <f t="shared" si="12"/>
        <v>Wednesday</v>
      </c>
      <c r="C15" s="59"/>
      <c r="D15" s="17"/>
      <c r="E15" s="8" t="s">
        <v>36</v>
      </c>
      <c r="F15" s="6" t="s">
        <v>101</v>
      </c>
      <c r="G15" s="129"/>
      <c r="H15" s="9">
        <f t="shared" si="0"/>
        <v>12.053549228301895</v>
      </c>
      <c r="I15" s="9">
        <f t="shared" si="1"/>
        <v>6.161868642904395</v>
      </c>
      <c r="J15" s="9">
        <f t="shared" si="2"/>
        <v>0.2701880575068936</v>
      </c>
      <c r="K15" s="9">
        <f t="shared" si="3"/>
        <v>0.41186864290439407</v>
      </c>
      <c r="L15" s="9">
        <f t="shared" si="4"/>
        <v>0.5535492283018946</v>
      </c>
      <c r="M15" s="9">
        <f t="shared" si="5"/>
        <v>0.695229813699395</v>
      </c>
      <c r="N15" s="9">
        <f t="shared" si="6"/>
        <v>0.8369103990968954</v>
      </c>
      <c r="O15" s="9">
        <f t="shared" si="7"/>
        <v>0.9452298136993948</v>
      </c>
      <c r="P15" s="9">
        <f>sunrise(Location!$B$4,Location!$B$5,Location!$B$6,5,A15,Location!$B$7,IF(Location!$B$8="No",0,1))</f>
        <v>0.2701880575068936</v>
      </c>
      <c r="Q15" s="9">
        <f>sunset(Location!$B$4,Location!$B$5,Location!$B$6,5,A15,Location!$B$7,IF(Location!$B$8="No",0,1))</f>
        <v>0.8369103990968954</v>
      </c>
      <c r="R15" s="9">
        <f t="shared" si="8"/>
        <v>0.5667223415900018</v>
      </c>
      <c r="S15" s="10">
        <f t="shared" si="9"/>
        <v>0.04722686179916682</v>
      </c>
      <c r="T15" s="9">
        <f t="shared" si="10"/>
        <v>23.43327765841</v>
      </c>
      <c r="U15" s="10">
        <f t="shared" si="11"/>
        <v>0.03610647153416651</v>
      </c>
    </row>
    <row r="16" spans="1:21" ht="12.75">
      <c r="A16" s="5">
        <v>14</v>
      </c>
      <c r="B16" s="6" t="str">
        <f t="shared" si="12"/>
        <v>Thursday</v>
      </c>
      <c r="C16" s="59"/>
      <c r="D16" s="17" t="s">
        <v>35</v>
      </c>
      <c r="E16" s="8" t="s">
        <v>17</v>
      </c>
      <c r="F16" s="6" t="s">
        <v>46</v>
      </c>
      <c r="G16" s="129"/>
      <c r="H16" s="9">
        <f t="shared" si="0"/>
        <v>12.053548940579228</v>
      </c>
      <c r="I16" s="9">
        <f t="shared" si="1"/>
        <v>6.161649478138369</v>
      </c>
      <c r="J16" s="9">
        <f t="shared" si="2"/>
        <v>0.2697500156975088</v>
      </c>
      <c r="K16" s="9">
        <f t="shared" si="3"/>
        <v>0.4116494781383682</v>
      </c>
      <c r="L16" s="9">
        <f t="shared" si="4"/>
        <v>0.5535489405792277</v>
      </c>
      <c r="M16" s="9">
        <f t="shared" si="5"/>
        <v>0.6954484030200871</v>
      </c>
      <c r="N16" s="9">
        <f t="shared" si="6"/>
        <v>0.8373478654609465</v>
      </c>
      <c r="O16" s="9">
        <f t="shared" si="7"/>
        <v>0.9454484030200871</v>
      </c>
      <c r="P16" s="9">
        <f>sunrise(Location!$B$4,Location!$B$5,Location!$B$6,5,A16,Location!$B$7,IF(Location!$B$8="No",0,1))</f>
        <v>0.2697500156975088</v>
      </c>
      <c r="Q16" s="9">
        <f>sunset(Location!$B$4,Location!$B$5,Location!$B$6,5,A16,Location!$B$7,IF(Location!$B$8="No",0,1))</f>
        <v>0.8373478654609465</v>
      </c>
      <c r="R16" s="9">
        <f t="shared" si="8"/>
        <v>0.5675978497634377</v>
      </c>
      <c r="S16" s="10">
        <f t="shared" si="9"/>
        <v>0.04729982081361981</v>
      </c>
      <c r="T16" s="9">
        <f t="shared" si="10"/>
        <v>23.432402150236562</v>
      </c>
      <c r="U16" s="10">
        <f t="shared" si="11"/>
        <v>0.03603351251971352</v>
      </c>
    </row>
    <row r="17" spans="1:21" ht="12.75">
      <c r="A17" s="5">
        <v>15</v>
      </c>
      <c r="B17" s="6" t="str">
        <f aca="true" t="shared" si="13" ref="B17:B23">B3</f>
        <v>Friday</v>
      </c>
      <c r="C17" s="59"/>
      <c r="D17" s="17" t="s">
        <v>38</v>
      </c>
      <c r="E17" s="8" t="s">
        <v>21</v>
      </c>
      <c r="F17" s="6" t="s">
        <v>47</v>
      </c>
      <c r="G17" s="129"/>
      <c r="H17" s="9">
        <f t="shared" si="0"/>
        <v>12.053555137491443</v>
      </c>
      <c r="I17" s="9">
        <f t="shared" si="1"/>
        <v>6.161440843812288</v>
      </c>
      <c r="J17" s="9">
        <f t="shared" si="2"/>
        <v>0.2693265501331327</v>
      </c>
      <c r="K17" s="9">
        <f t="shared" si="3"/>
        <v>0.41144084381228774</v>
      </c>
      <c r="L17" s="9">
        <f t="shared" si="4"/>
        <v>0.5535551374914427</v>
      </c>
      <c r="M17" s="9">
        <f t="shared" si="5"/>
        <v>0.6956694311705977</v>
      </c>
      <c r="N17" s="9">
        <f t="shared" si="6"/>
        <v>0.8377837248497526</v>
      </c>
      <c r="O17" s="9">
        <f t="shared" si="7"/>
        <v>0.9456694311705977</v>
      </c>
      <c r="P17" s="9">
        <f>sunrise(Location!$B$4,Location!$B$5,Location!$B$6,5,A17,Location!$B$7,IF(Location!$B$8="No",0,1))</f>
        <v>0.2693265501331327</v>
      </c>
      <c r="Q17" s="9">
        <f>sunset(Location!$B$4,Location!$B$5,Location!$B$6,5,A17,Location!$B$7,IF(Location!$B$8="No",0,1))</f>
        <v>0.8377837248497526</v>
      </c>
      <c r="R17" s="9">
        <f t="shared" si="8"/>
        <v>0.5684571747166198</v>
      </c>
      <c r="S17" s="10">
        <f t="shared" si="9"/>
        <v>0.047371431226384986</v>
      </c>
      <c r="T17" s="9">
        <f t="shared" si="10"/>
        <v>23.43154282528338</v>
      </c>
      <c r="U17" s="10">
        <f t="shared" si="11"/>
        <v>0.03596190210694834</v>
      </c>
    </row>
    <row r="18" spans="1:21" ht="12.75">
      <c r="A18" s="5">
        <v>16</v>
      </c>
      <c r="B18" s="6" t="str">
        <f t="shared" si="13"/>
        <v>Saturday</v>
      </c>
      <c r="C18" s="59"/>
      <c r="D18" s="17"/>
      <c r="E18" s="8" t="s">
        <v>24</v>
      </c>
      <c r="F18" s="6" t="s">
        <v>102</v>
      </c>
      <c r="G18" s="134"/>
      <c r="H18" s="9">
        <f t="shared" si="0"/>
        <v>12.053567780570983</v>
      </c>
      <c r="I18" s="9">
        <f t="shared" si="1"/>
        <v>6.16124281086311</v>
      </c>
      <c r="J18" s="9">
        <f t="shared" si="2"/>
        <v>0.2689178411552357</v>
      </c>
      <c r="K18" s="9">
        <f t="shared" si="3"/>
        <v>0.41124281086310976</v>
      </c>
      <c r="L18" s="9">
        <f t="shared" si="4"/>
        <v>0.5535677805709838</v>
      </c>
      <c r="M18" s="9">
        <f t="shared" si="5"/>
        <v>0.6958927502788579</v>
      </c>
      <c r="N18" s="9">
        <f t="shared" si="6"/>
        <v>0.8382177199867319</v>
      </c>
      <c r="O18" s="9">
        <f t="shared" si="7"/>
        <v>0.9458927502788578</v>
      </c>
      <c r="P18" s="9">
        <f>sunrise(Location!$B$4,Location!$B$5,Location!$B$6,5,A18,Location!$B$7,IF(Location!$B$8="No",0,1))</f>
        <v>0.2689178411552357</v>
      </c>
      <c r="Q18" s="9">
        <f>sunset(Location!$B$4,Location!$B$5,Location!$B$6,5,A18,Location!$B$7,IF(Location!$B$8="No",0,1))</f>
        <v>0.8382177199867319</v>
      </c>
      <c r="R18" s="9">
        <f t="shared" si="8"/>
        <v>0.5692998788314962</v>
      </c>
      <c r="S18" s="10">
        <f t="shared" si="9"/>
        <v>0.047441656569291356</v>
      </c>
      <c r="T18" s="9">
        <f t="shared" si="10"/>
        <v>23.430700121168503</v>
      </c>
      <c r="U18" s="10">
        <f t="shared" si="11"/>
        <v>0.03589167676404197</v>
      </c>
    </row>
    <row r="19" spans="1:21" ht="12.75">
      <c r="A19" s="5">
        <v>17</v>
      </c>
      <c r="B19" s="6" t="str">
        <f t="shared" si="13"/>
        <v>Sunday</v>
      </c>
      <c r="C19" s="59"/>
      <c r="D19" s="17" t="s">
        <v>40</v>
      </c>
      <c r="E19" s="8" t="s">
        <v>26</v>
      </c>
      <c r="F19" s="6" t="s">
        <v>103</v>
      </c>
      <c r="G19" s="130" t="s">
        <v>294</v>
      </c>
      <c r="H19" s="9">
        <f t="shared" si="0"/>
        <v>12.053586822059197</v>
      </c>
      <c r="I19" s="9">
        <f t="shared" si="1"/>
        <v>6.161055441214209</v>
      </c>
      <c r="J19" s="9">
        <f t="shared" si="2"/>
        <v>0.26852406036922233</v>
      </c>
      <c r="K19" s="9">
        <f t="shared" si="3"/>
        <v>0.4110554412142099</v>
      </c>
      <c r="L19" s="9">
        <f t="shared" si="4"/>
        <v>0.5535868220591975</v>
      </c>
      <c r="M19" s="9">
        <f t="shared" si="5"/>
        <v>0.696118202904185</v>
      </c>
      <c r="N19" s="9">
        <f t="shared" si="6"/>
        <v>0.8386495837491725</v>
      </c>
      <c r="O19" s="9">
        <f t="shared" si="7"/>
        <v>0.9461182029041849</v>
      </c>
      <c r="P19" s="9">
        <f>sunrise(Location!$B$4,Location!$B$5,Location!$B$6,5,A19,Location!$B$7,IF(Location!$B$8="No",0,1))</f>
        <v>0.26852406036922233</v>
      </c>
      <c r="Q19" s="9">
        <f>sunset(Location!$B$4,Location!$B$5,Location!$B$6,5,A19,Location!$B$7,IF(Location!$B$8="No",0,1))</f>
        <v>0.8386495837491725</v>
      </c>
      <c r="R19" s="9">
        <f t="shared" si="8"/>
        <v>0.5701255233799503</v>
      </c>
      <c r="S19" s="10">
        <f t="shared" si="9"/>
        <v>0.047510460281662524</v>
      </c>
      <c r="T19" s="9">
        <f t="shared" si="10"/>
        <v>23.42987447662005</v>
      </c>
      <c r="U19" s="10">
        <f t="shared" si="11"/>
        <v>0.035822873051670805</v>
      </c>
    </row>
    <row r="20" spans="1:21" ht="12.75">
      <c r="A20" s="5">
        <v>18</v>
      </c>
      <c r="B20" s="6" t="str">
        <f t="shared" si="13"/>
        <v>Monday</v>
      </c>
      <c r="C20" s="59"/>
      <c r="D20" s="17" t="s">
        <v>42</v>
      </c>
      <c r="E20" s="8" t="s">
        <v>29</v>
      </c>
      <c r="F20" s="6" t="s">
        <v>105</v>
      </c>
      <c r="G20" s="134"/>
      <c r="H20" s="9">
        <f t="shared" si="0"/>
        <v>12.053612204868589</v>
      </c>
      <c r="I20" s="9">
        <f t="shared" si="1"/>
        <v>6.160878787579637</v>
      </c>
      <c r="J20" s="9">
        <f t="shared" si="2"/>
        <v>0.2681453702906856</v>
      </c>
      <c r="K20" s="9">
        <f t="shared" si="3"/>
        <v>0.4108787875796366</v>
      </c>
      <c r="L20" s="9">
        <f t="shared" si="4"/>
        <v>0.5536122048685876</v>
      </c>
      <c r="M20" s="9">
        <f t="shared" si="5"/>
        <v>0.6963456221575387</v>
      </c>
      <c r="N20" s="9">
        <f t="shared" si="6"/>
        <v>0.8390790394464898</v>
      </c>
      <c r="O20" s="9">
        <f t="shared" si="7"/>
        <v>0.9463456221575387</v>
      </c>
      <c r="P20" s="9">
        <f>sunrise(Location!$B$4,Location!$B$5,Location!$B$6,5,A20,Location!$B$7,IF(Location!$B$8="No",0,1))</f>
        <v>0.2681453702906856</v>
      </c>
      <c r="Q20" s="9">
        <f>sunset(Location!$B$4,Location!$B$5,Location!$B$6,5,A20,Location!$B$7,IF(Location!$B$8="No",0,1))</f>
        <v>0.8390790394464898</v>
      </c>
      <c r="R20" s="9">
        <f t="shared" si="8"/>
        <v>0.5709336691558042</v>
      </c>
      <c r="S20" s="10">
        <f t="shared" si="9"/>
        <v>0.047577805762983684</v>
      </c>
      <c r="T20" s="9">
        <f t="shared" si="10"/>
        <v>23.429066330844197</v>
      </c>
      <c r="U20" s="10">
        <f t="shared" si="11"/>
        <v>0.035755527570349645</v>
      </c>
    </row>
    <row r="21" spans="1:21" ht="12.75">
      <c r="A21" s="5">
        <v>19</v>
      </c>
      <c r="B21" s="6" t="str">
        <f t="shared" si="13"/>
        <v>Tuesday</v>
      </c>
      <c r="C21" s="59"/>
      <c r="D21" s="17"/>
      <c r="E21" s="8" t="s">
        <v>32</v>
      </c>
      <c r="F21" s="6" t="s">
        <v>107</v>
      </c>
      <c r="G21" s="134" t="s">
        <v>239</v>
      </c>
      <c r="H21" s="9">
        <f t="shared" si="0"/>
        <v>12.053643862561827</v>
      </c>
      <c r="I21" s="9">
        <f t="shared" si="1"/>
        <v>6.160712893277947</v>
      </c>
      <c r="J21" s="9">
        <f t="shared" si="2"/>
        <v>0.2677819239940659</v>
      </c>
      <c r="K21" s="9">
        <f t="shared" si="3"/>
        <v>0.410712893277947</v>
      </c>
      <c r="L21" s="9">
        <f t="shared" si="4"/>
        <v>0.5536438625618281</v>
      </c>
      <c r="M21" s="9">
        <f t="shared" si="5"/>
        <v>0.6965748318457091</v>
      </c>
      <c r="N21" s="9">
        <f t="shared" si="6"/>
        <v>0.8395058011295902</v>
      </c>
      <c r="O21" s="9">
        <f t="shared" si="7"/>
        <v>0.9465748318457091</v>
      </c>
      <c r="P21" s="9">
        <f>sunrise(Location!$B$4,Location!$B$5,Location!$B$6,5,A21,Location!$B$7,IF(Location!$B$8="No",0,1))</f>
        <v>0.2677819239940659</v>
      </c>
      <c r="Q21" s="9">
        <f>sunset(Location!$B$4,Location!$B$5,Location!$B$6,5,A21,Location!$B$7,IF(Location!$B$8="No",0,1))</f>
        <v>0.8395058011295902</v>
      </c>
      <c r="R21" s="9">
        <f t="shared" si="8"/>
        <v>0.5717238771355242</v>
      </c>
      <c r="S21" s="10">
        <f t="shared" si="9"/>
        <v>0.04764365642796035</v>
      </c>
      <c r="T21" s="9">
        <f t="shared" si="10"/>
        <v>23.428276122864474</v>
      </c>
      <c r="U21" s="10">
        <f t="shared" si="11"/>
        <v>0.03568967690537298</v>
      </c>
    </row>
    <row r="22" spans="1:21" ht="12.75">
      <c r="A22" s="5">
        <v>20</v>
      </c>
      <c r="B22" s="6" t="str">
        <f t="shared" si="13"/>
        <v>Wednesday</v>
      </c>
      <c r="C22" s="59"/>
      <c r="D22" s="17" t="s">
        <v>45</v>
      </c>
      <c r="E22" s="8" t="s">
        <v>36</v>
      </c>
      <c r="F22" s="6" t="s">
        <v>108</v>
      </c>
      <c r="G22" s="129"/>
      <c r="H22" s="9">
        <f t="shared" si="0"/>
        <v>12.05368171934753</v>
      </c>
      <c r="I22" s="9">
        <f t="shared" si="1"/>
        <v>6.16055779205526</v>
      </c>
      <c r="J22" s="9">
        <f t="shared" si="2"/>
        <v>0.2674338647629905</v>
      </c>
      <c r="K22" s="9">
        <f t="shared" si="3"/>
        <v>0.4105577920552608</v>
      </c>
      <c r="L22" s="9">
        <f t="shared" si="4"/>
        <v>0.553681719347531</v>
      </c>
      <c r="M22" s="9">
        <f t="shared" si="5"/>
        <v>0.6968056466398012</v>
      </c>
      <c r="N22" s="9">
        <f t="shared" si="6"/>
        <v>0.8399295739320715</v>
      </c>
      <c r="O22" s="9">
        <f t="shared" si="7"/>
        <v>0.9468056466398012</v>
      </c>
      <c r="P22" s="9">
        <f>sunrise(Location!$B$4,Location!$B$5,Location!$B$6,5,A22,Location!$B$7,IF(Location!$B$8="No",0,1))</f>
        <v>0.2674338647629905</v>
      </c>
      <c r="Q22" s="9">
        <f>sunset(Location!$B$4,Location!$B$5,Location!$B$6,5,A22,Location!$B$7,IF(Location!$B$8="No",0,1))</f>
        <v>0.8399295739320715</v>
      </c>
      <c r="R22" s="9">
        <f t="shared" si="8"/>
        <v>0.572495709169081</v>
      </c>
      <c r="S22" s="10">
        <f t="shared" si="9"/>
        <v>0.04770797576409008</v>
      </c>
      <c r="T22" s="9">
        <f t="shared" si="10"/>
        <v>23.427504290830917</v>
      </c>
      <c r="U22" s="10">
        <f t="shared" si="11"/>
        <v>0.035625357569243246</v>
      </c>
    </row>
    <row r="23" spans="1:21" ht="12.75">
      <c r="A23" s="5">
        <v>21</v>
      </c>
      <c r="B23" s="6" t="str">
        <f t="shared" si="13"/>
        <v>Thursday</v>
      </c>
      <c r="C23" s="59"/>
      <c r="D23" s="17"/>
      <c r="E23" s="8" t="s">
        <v>17</v>
      </c>
      <c r="F23" s="6" t="s">
        <v>110</v>
      </c>
      <c r="G23" s="150" t="s">
        <v>330</v>
      </c>
      <c r="H23" s="9">
        <f t="shared" si="0"/>
        <v>12.05372569009436</v>
      </c>
      <c r="I23" s="9">
        <f t="shared" si="1"/>
        <v>6.160413507920728</v>
      </c>
      <c r="J23" s="9">
        <f t="shared" si="2"/>
        <v>0.26710132574709605</v>
      </c>
      <c r="K23" s="9">
        <f t="shared" si="3"/>
        <v>0.41041350792072795</v>
      </c>
      <c r="L23" s="9">
        <f t="shared" si="4"/>
        <v>0.5537256900943599</v>
      </c>
      <c r="M23" s="9">
        <f t="shared" si="5"/>
        <v>0.6970378722679917</v>
      </c>
      <c r="N23" s="9">
        <f t="shared" si="6"/>
        <v>0.8403500544416236</v>
      </c>
      <c r="O23" s="9">
        <f t="shared" si="7"/>
        <v>0.9470378722679916</v>
      </c>
      <c r="P23" s="9">
        <f>sunrise(Location!$B$4,Location!$B$5,Location!$B$6,5,A23,Location!$B$7,IF(Location!$B$8="No",0,1))</f>
        <v>0.26710132574709605</v>
      </c>
      <c r="Q23" s="9">
        <f>sunset(Location!$B$4,Location!$B$5,Location!$B$6,5,A23,Location!$B$7,IF(Location!$B$8="No",0,1))</f>
        <v>0.8403500544416236</v>
      </c>
      <c r="R23" s="9">
        <f t="shared" si="8"/>
        <v>0.5732487286945276</v>
      </c>
      <c r="S23" s="10">
        <f t="shared" si="9"/>
        <v>0.04777072739121063</v>
      </c>
      <c r="T23" s="9">
        <f t="shared" si="10"/>
        <v>23.426751271305474</v>
      </c>
      <c r="U23" s="10">
        <f t="shared" si="11"/>
        <v>0.035562605942122696</v>
      </c>
    </row>
    <row r="24" spans="1:21" ht="12.75">
      <c r="A24" s="5">
        <v>22</v>
      </c>
      <c r="B24" s="6" t="str">
        <f aca="true" t="shared" si="14" ref="B24:B30">B3</f>
        <v>Friday</v>
      </c>
      <c r="C24" s="59"/>
      <c r="D24" s="17" t="s">
        <v>48</v>
      </c>
      <c r="E24" s="8" t="s">
        <v>21</v>
      </c>
      <c r="F24" s="6" t="s">
        <v>111</v>
      </c>
      <c r="G24" s="129"/>
      <c r="H24" s="9">
        <f t="shared" si="0"/>
        <v>12.053775680362174</v>
      </c>
      <c r="I24" s="9">
        <f t="shared" si="1"/>
        <v>6.160280054992329</v>
      </c>
      <c r="J24" s="9">
        <f t="shared" si="2"/>
        <v>0.26678442962248466</v>
      </c>
      <c r="K24" s="9">
        <f t="shared" si="3"/>
        <v>0.41028005499232856</v>
      </c>
      <c r="L24" s="9">
        <f t="shared" si="4"/>
        <v>0.5537756803621725</v>
      </c>
      <c r="M24" s="9">
        <f t="shared" si="5"/>
        <v>0.6972713057320166</v>
      </c>
      <c r="N24" s="9">
        <f t="shared" si="6"/>
        <v>0.8407669311018605</v>
      </c>
      <c r="O24" s="9">
        <f t="shared" si="7"/>
        <v>0.9472713057320166</v>
      </c>
      <c r="P24" s="9">
        <f>sunrise(Location!$B$4,Location!$B$5,Location!$B$6,5,A24,Location!$B$7,IF(Location!$B$8="No",0,1))</f>
        <v>0.26678442962248466</v>
      </c>
      <c r="Q24" s="9">
        <f>sunset(Location!$B$4,Location!$B$5,Location!$B$6,5,A24,Location!$B$7,IF(Location!$B$8="No",0,1))</f>
        <v>0.8407669311018605</v>
      </c>
      <c r="R24" s="9">
        <f t="shared" si="8"/>
        <v>0.5739825014793758</v>
      </c>
      <c r="S24" s="10">
        <f t="shared" si="9"/>
        <v>0.04783187512328132</v>
      </c>
      <c r="T24" s="9">
        <f t="shared" si="10"/>
        <v>23.426017498520626</v>
      </c>
      <c r="U24" s="10">
        <f t="shared" si="11"/>
        <v>0.03550145821005201</v>
      </c>
    </row>
    <row r="25" spans="1:21" ht="12.75">
      <c r="A25" s="5">
        <v>23</v>
      </c>
      <c r="B25" s="6" t="str">
        <f t="shared" si="14"/>
        <v>Saturday</v>
      </c>
      <c r="C25" s="59"/>
      <c r="D25" s="17" t="s">
        <v>50</v>
      </c>
      <c r="E25" s="8" t="s">
        <v>24</v>
      </c>
      <c r="F25" s="6" t="s">
        <v>112</v>
      </c>
      <c r="G25" s="134"/>
      <c r="H25" s="9">
        <f t="shared" si="0"/>
        <v>12.05383158645181</v>
      </c>
      <c r="I25" s="9">
        <f t="shared" si="1"/>
        <v>6.1601574373555</v>
      </c>
      <c r="J25" s="9">
        <f t="shared" si="2"/>
        <v>0.26648328825918965</v>
      </c>
      <c r="K25" s="9">
        <f t="shared" si="3"/>
        <v>0.4101574373554998</v>
      </c>
      <c r="L25" s="9">
        <f t="shared" si="4"/>
        <v>0.55383158645181</v>
      </c>
      <c r="M25" s="9">
        <f t="shared" si="5"/>
        <v>0.69750573554812</v>
      </c>
      <c r="N25" s="9">
        <f t="shared" si="6"/>
        <v>0.8411798846444302</v>
      </c>
      <c r="O25" s="9">
        <f t="shared" si="7"/>
        <v>0.94750573554812</v>
      </c>
      <c r="P25" s="9">
        <f>sunrise(Location!$B$4,Location!$B$5,Location!$B$6,5,A25,Location!$B$7,IF(Location!$B$8="No",0,1))</f>
        <v>0.26648328825918965</v>
      </c>
      <c r="Q25" s="9">
        <f>sunset(Location!$B$4,Location!$B$5,Location!$B$6,5,A25,Location!$B$7,IF(Location!$B$8="No",0,1))</f>
        <v>0.8411798846444302</v>
      </c>
      <c r="R25" s="9">
        <f t="shared" si="8"/>
        <v>0.5746965963852405</v>
      </c>
      <c r="S25" s="10">
        <f t="shared" si="9"/>
        <v>0.04789138303210338</v>
      </c>
      <c r="T25" s="9">
        <f t="shared" si="10"/>
        <v>23.42530340361476</v>
      </c>
      <c r="U25" s="10">
        <f t="shared" si="11"/>
        <v>0.03544195030122995</v>
      </c>
    </row>
    <row r="26" spans="1:21" ht="12.75">
      <c r="A26" s="5">
        <v>24</v>
      </c>
      <c r="B26" s="6" t="str">
        <f t="shared" si="14"/>
        <v>Sunday</v>
      </c>
      <c r="C26" s="59"/>
      <c r="D26" s="17"/>
      <c r="E26" s="8" t="s">
        <v>26</v>
      </c>
      <c r="F26" s="6" t="s">
        <v>113</v>
      </c>
      <c r="G26" s="130" t="s">
        <v>295</v>
      </c>
      <c r="H26" s="9">
        <f t="shared" si="0"/>
        <v>12.053893295474197</v>
      </c>
      <c r="I26" s="9">
        <f t="shared" si="1"/>
        <v>6.160045648936442</v>
      </c>
      <c r="J26" s="9">
        <f t="shared" si="2"/>
        <v>0.26619800239868685</v>
      </c>
      <c r="K26" s="9">
        <f t="shared" si="3"/>
        <v>0.41004564893644163</v>
      </c>
      <c r="L26" s="9">
        <f t="shared" si="4"/>
        <v>0.5538932954741964</v>
      </c>
      <c r="M26" s="9">
        <f t="shared" si="5"/>
        <v>0.6977409420119511</v>
      </c>
      <c r="N26" s="9">
        <f t="shared" si="6"/>
        <v>0.8415885885497059</v>
      </c>
      <c r="O26" s="9">
        <f t="shared" si="7"/>
        <v>0.9477409420119511</v>
      </c>
      <c r="P26" s="9">
        <f>sunrise(Location!$B$4,Location!$B$5,Location!$B$6,5,A26,Location!$B$7,IF(Location!$B$8="No",0,1))</f>
        <v>0.26619800239868685</v>
      </c>
      <c r="Q26" s="9">
        <f>sunset(Location!$B$4,Location!$B$5,Location!$B$6,5,A26,Location!$B$7,IF(Location!$B$8="No",0,1))</f>
        <v>0.8415885885497059</v>
      </c>
      <c r="R26" s="9">
        <f t="shared" si="8"/>
        <v>0.575390586151019</v>
      </c>
      <c r="S26" s="10">
        <f t="shared" si="9"/>
        <v>0.047949215512584915</v>
      </c>
      <c r="T26" s="9">
        <f t="shared" si="10"/>
        <v>23.42460941384898</v>
      </c>
      <c r="U26" s="10">
        <f t="shared" si="11"/>
        <v>0.03538411782074841</v>
      </c>
    </row>
    <row r="27" spans="1:21" ht="12.75">
      <c r="A27" s="5">
        <v>25</v>
      </c>
      <c r="B27" s="6" t="str">
        <f t="shared" si="14"/>
        <v>Monday</v>
      </c>
      <c r="C27" s="59"/>
      <c r="D27" s="17" t="s">
        <v>53</v>
      </c>
      <c r="E27" s="8" t="s">
        <v>29</v>
      </c>
      <c r="F27" s="6" t="s">
        <v>114</v>
      </c>
      <c r="G27" s="48" t="s">
        <v>130</v>
      </c>
      <c r="H27" s="9">
        <f t="shared" si="0"/>
        <v>12.053960685437753</v>
      </c>
      <c r="I27" s="9">
        <f t="shared" si="1"/>
        <v>6.159944673388074</v>
      </c>
      <c r="J27" s="9">
        <f t="shared" si="2"/>
        <v>0.2659286613383945</v>
      </c>
      <c r="K27" s="9">
        <f t="shared" si="3"/>
        <v>0.4099446733880743</v>
      </c>
      <c r="L27" s="9">
        <f t="shared" si="4"/>
        <v>0.5539606854377541</v>
      </c>
      <c r="M27" s="9">
        <f t="shared" si="5"/>
        <v>0.6979766974874339</v>
      </c>
      <c r="N27" s="9">
        <f t="shared" si="6"/>
        <v>0.8419927095371136</v>
      </c>
      <c r="O27" s="9">
        <f t="shared" si="7"/>
        <v>0.9479766974874337</v>
      </c>
      <c r="P27" s="9">
        <f>sunrise(Location!$B$4,Location!$B$5,Location!$B$6,5,A27,Location!$B$7,IF(Location!$B$8="No",0,1))</f>
        <v>0.2659286613383945</v>
      </c>
      <c r="Q27" s="9">
        <f>sunset(Location!$B$4,Location!$B$5,Location!$B$6,5,A27,Location!$B$7,IF(Location!$B$8="No",0,1))</f>
        <v>0.8419927095371136</v>
      </c>
      <c r="R27" s="9">
        <f t="shared" si="8"/>
        <v>0.5760640481987191</v>
      </c>
      <c r="S27" s="10">
        <f t="shared" si="9"/>
        <v>0.04800533734989326</v>
      </c>
      <c r="T27" s="9">
        <f t="shared" si="10"/>
        <v>23.42393595180128</v>
      </c>
      <c r="U27" s="10">
        <f t="shared" si="11"/>
        <v>0.035327995983440066</v>
      </c>
    </row>
    <row r="28" spans="1:21" ht="12.75">
      <c r="A28" s="5">
        <v>26</v>
      </c>
      <c r="B28" s="6" t="str">
        <f t="shared" si="14"/>
        <v>Tuesday</v>
      </c>
      <c r="C28" s="59"/>
      <c r="D28" s="17" t="s">
        <v>55</v>
      </c>
      <c r="E28" s="8" t="s">
        <v>32</v>
      </c>
      <c r="F28" s="6" t="s">
        <v>116</v>
      </c>
      <c r="G28" s="45" t="s">
        <v>240</v>
      </c>
      <c r="H28" s="9">
        <f t="shared" si="0"/>
        <v>12.054033625354656</v>
      </c>
      <c r="I28" s="9">
        <f t="shared" si="1"/>
        <v>6.1598544839918645</v>
      </c>
      <c r="J28" s="9">
        <f t="shared" si="2"/>
        <v>0.2656753426290729</v>
      </c>
      <c r="K28" s="9">
        <f t="shared" si="3"/>
        <v>0.4098544839918648</v>
      </c>
      <c r="L28" s="9">
        <f t="shared" si="4"/>
        <v>0.5540336253546567</v>
      </c>
      <c r="M28" s="9">
        <f t="shared" si="5"/>
        <v>0.6982127667174486</v>
      </c>
      <c r="N28" s="9">
        <f t="shared" si="6"/>
        <v>0.8423919080802404</v>
      </c>
      <c r="O28" s="9">
        <f t="shared" si="7"/>
        <v>0.9482127667174486</v>
      </c>
      <c r="P28" s="9">
        <f>sunrise(Location!$B$4,Location!$B$5,Location!$B$6,5,A28,Location!$B$7,IF(Location!$B$8="No",0,1))</f>
        <v>0.2656753426290729</v>
      </c>
      <c r="Q28" s="9">
        <f>sunset(Location!$B$4,Location!$B$5,Location!$B$6,5,A28,Location!$B$7,IF(Location!$B$8="No",0,1))</f>
        <v>0.8423919080802404</v>
      </c>
      <c r="R28" s="9">
        <f t="shared" si="8"/>
        <v>0.5767165654511676</v>
      </c>
      <c r="S28" s="10">
        <f t="shared" si="9"/>
        <v>0.0480597137875973</v>
      </c>
      <c r="T28" s="9">
        <f t="shared" si="10"/>
        <v>23.423283434548832</v>
      </c>
      <c r="U28" s="10">
        <f t="shared" si="11"/>
        <v>0.03527361954573603</v>
      </c>
    </row>
    <row r="29" spans="1:21" ht="12.75">
      <c r="A29" s="5">
        <v>27</v>
      </c>
      <c r="B29" s="6" t="str">
        <f t="shared" si="14"/>
        <v>Wednesday</v>
      </c>
      <c r="C29" s="59"/>
      <c r="D29" s="7"/>
      <c r="E29" s="8" t="s">
        <v>36</v>
      </c>
      <c r="F29" s="6" t="s">
        <v>117</v>
      </c>
      <c r="G29" s="135"/>
      <c r="H29" s="9">
        <f t="shared" si="0"/>
        <v>12.054111975367498</v>
      </c>
      <c r="I29" s="9">
        <f t="shared" si="1"/>
        <v>6.1597750435757375</v>
      </c>
      <c r="J29" s="9">
        <f t="shared" si="2"/>
        <v>0.26543811178397775</v>
      </c>
      <c r="K29" s="9">
        <f t="shared" si="3"/>
        <v>0.40977504357573724</v>
      </c>
      <c r="L29" s="9">
        <f t="shared" si="4"/>
        <v>0.5541119753674968</v>
      </c>
      <c r="M29" s="9">
        <f t="shared" si="5"/>
        <v>0.6984489071592563</v>
      </c>
      <c r="N29" s="9">
        <f t="shared" si="6"/>
        <v>0.842785838951016</v>
      </c>
      <c r="O29" s="9">
        <f t="shared" si="7"/>
        <v>0.9484489071592564</v>
      </c>
      <c r="P29" s="9">
        <f>sunrise(Location!$B$4,Location!$B$5,Location!$B$6,5,A29,Location!$B$7,IF(Location!$B$8="No",0,1))</f>
        <v>0.26543811178397775</v>
      </c>
      <c r="Q29" s="9">
        <f>sunset(Location!$B$4,Location!$B$5,Location!$B$6,5,A29,Location!$B$7,IF(Location!$B$8="No",0,1))</f>
        <v>0.842785838951016</v>
      </c>
      <c r="R29" s="9">
        <f t="shared" si="8"/>
        <v>0.5773477271670382</v>
      </c>
      <c r="S29" s="10">
        <f t="shared" si="9"/>
        <v>0.04811231059725318</v>
      </c>
      <c r="T29" s="9">
        <f t="shared" si="10"/>
        <v>23.422652272832963</v>
      </c>
      <c r="U29" s="10">
        <f t="shared" si="11"/>
        <v>0.035221022736080146</v>
      </c>
    </row>
    <row r="30" spans="1:21" ht="12.75">
      <c r="A30" s="5">
        <v>28</v>
      </c>
      <c r="B30" s="6" t="str">
        <f t="shared" si="14"/>
        <v>Thursday</v>
      </c>
      <c r="C30" s="59"/>
      <c r="D30" s="92" t="s">
        <v>59</v>
      </c>
      <c r="E30" s="8" t="s">
        <v>17</v>
      </c>
      <c r="F30" s="6" t="s">
        <v>118</v>
      </c>
      <c r="G30" s="129"/>
      <c r="H30" s="9">
        <f t="shared" si="0"/>
        <v>12.054195586893883</v>
      </c>
      <c r="I30" s="9">
        <f t="shared" si="1"/>
        <v>6.159706304447851</v>
      </c>
      <c r="J30" s="9">
        <f t="shared" si="2"/>
        <v>0.2652170220018182</v>
      </c>
      <c r="K30" s="9">
        <f t="shared" si="3"/>
        <v>0.4097063044478504</v>
      </c>
      <c r="L30" s="9">
        <f t="shared" si="4"/>
        <v>0.5541955868938826</v>
      </c>
      <c r="M30" s="9">
        <f t="shared" si="5"/>
        <v>0.6986848693399148</v>
      </c>
      <c r="N30" s="9">
        <f t="shared" si="6"/>
        <v>0.843174151785947</v>
      </c>
      <c r="O30" s="9">
        <f t="shared" si="7"/>
        <v>0.9486848693399148</v>
      </c>
      <c r="P30" s="9">
        <f>sunrise(Location!$B$4,Location!$B$5,Location!$B$6,5,A30,Location!$B$7,IF(Location!$B$8="No",0,1))</f>
        <v>0.2652170220018182</v>
      </c>
      <c r="Q30" s="9">
        <f>sunset(Location!$B$4,Location!$B$5,Location!$B$6,5,A30,Location!$B$7,IF(Location!$B$8="No",0,1))</f>
        <v>0.843174151785947</v>
      </c>
      <c r="R30" s="9">
        <f t="shared" si="8"/>
        <v>0.5779571297841288</v>
      </c>
      <c r="S30" s="10">
        <f t="shared" si="9"/>
        <v>0.0481630941486774</v>
      </c>
      <c r="T30" s="9">
        <f t="shared" si="10"/>
        <v>23.422042870215872</v>
      </c>
      <c r="U30" s="10">
        <f t="shared" si="11"/>
        <v>0.03517023918465593</v>
      </c>
    </row>
    <row r="31" spans="1:21" ht="12.75">
      <c r="A31" s="5">
        <v>29</v>
      </c>
      <c r="B31" s="6" t="str">
        <f>B3</f>
        <v>Friday</v>
      </c>
      <c r="C31" s="59"/>
      <c r="D31" s="92" t="s">
        <v>61</v>
      </c>
      <c r="E31" s="8" t="s">
        <v>21</v>
      </c>
      <c r="F31" s="6" t="s">
        <v>119</v>
      </c>
      <c r="G31" s="129"/>
      <c r="H31" s="9">
        <f t="shared" si="0"/>
        <v>12.054284302791793</v>
      </c>
      <c r="I31" s="9">
        <f t="shared" si="1"/>
        <v>6.159648208348915</v>
      </c>
      <c r="J31" s="9">
        <f t="shared" si="2"/>
        <v>0.26501211390603713</v>
      </c>
      <c r="K31" s="9">
        <f t="shared" si="3"/>
        <v>0.4096482083489149</v>
      </c>
      <c r="L31" s="9">
        <f t="shared" si="4"/>
        <v>0.5542843027917927</v>
      </c>
      <c r="M31" s="9">
        <f t="shared" si="5"/>
        <v>0.6989203972346706</v>
      </c>
      <c r="N31" s="9">
        <f t="shared" si="6"/>
        <v>0.8435564916775484</v>
      </c>
      <c r="O31" s="9">
        <f t="shared" si="7"/>
        <v>0.9489203972346706</v>
      </c>
      <c r="P31" s="9">
        <f>sunrise(Location!$B$4,Location!$B$5,Location!$B$6,5,A31,Location!$B$7,IF(Location!$B$8="No",0,1))</f>
        <v>0.26501211390603713</v>
      </c>
      <c r="Q31" s="9">
        <f>sunset(Location!$B$4,Location!$B$5,Location!$B$6,5,A31,Location!$B$7,IF(Location!$B$8="No",0,1))</f>
        <v>0.8435564916775484</v>
      </c>
      <c r="R31" s="9">
        <f t="shared" si="8"/>
        <v>0.5785443777715114</v>
      </c>
      <c r="S31" s="10">
        <f t="shared" si="9"/>
        <v>0.04821203148095928</v>
      </c>
      <c r="T31" s="9">
        <f t="shared" si="10"/>
        <v>23.42145562222849</v>
      </c>
      <c r="U31" s="10">
        <f t="shared" si="11"/>
        <v>0.03512130185237405</v>
      </c>
    </row>
    <row r="32" spans="1:21" ht="12.75">
      <c r="A32" s="5">
        <v>30</v>
      </c>
      <c r="B32" s="6" t="str">
        <f>B4</f>
        <v>Saturday</v>
      </c>
      <c r="C32" s="59"/>
      <c r="D32" s="7"/>
      <c r="E32" s="8" t="s">
        <v>24</v>
      </c>
      <c r="F32" s="6" t="s">
        <v>120</v>
      </c>
      <c r="G32" s="134"/>
      <c r="H32" s="9">
        <f t="shared" si="0"/>
        <v>12.054377957542762</v>
      </c>
      <c r="I32" s="9">
        <f t="shared" si="1"/>
        <v>6.15960068642134</v>
      </c>
      <c r="J32" s="9">
        <f t="shared" si="2"/>
        <v>0.2648234152999192</v>
      </c>
      <c r="K32" s="9">
        <f t="shared" si="3"/>
        <v>0.4096006864213402</v>
      </c>
      <c r="L32" s="9">
        <f t="shared" si="4"/>
        <v>0.5543779575427612</v>
      </c>
      <c r="M32" s="9">
        <f t="shared" si="5"/>
        <v>0.6991552286641822</v>
      </c>
      <c r="N32" s="9">
        <f t="shared" si="6"/>
        <v>0.8439324997856031</v>
      </c>
      <c r="O32" s="9">
        <f t="shared" si="7"/>
        <v>0.9491552286641821</v>
      </c>
      <c r="P32" s="9">
        <f>sunrise(Location!$B$4,Location!$B$5,Location!$B$6,5,A32,Location!$B$7,IF(Location!$B$8="No",0,1))</f>
        <v>0.2648234152999192</v>
      </c>
      <c r="Q32" s="9">
        <f>sunset(Location!$B$4,Location!$B$5,Location!$B$6,5,A32,Location!$B$7,IF(Location!$B$8="No",0,1))</f>
        <v>0.8439324997856031</v>
      </c>
      <c r="R32" s="9">
        <f t="shared" si="8"/>
        <v>0.5791090844856839</v>
      </c>
      <c r="S32" s="10">
        <f t="shared" si="9"/>
        <v>0.04825909037380699</v>
      </c>
      <c r="T32" s="9">
        <f t="shared" si="10"/>
        <v>23.420890915514317</v>
      </c>
      <c r="U32" s="10">
        <f t="shared" si="11"/>
        <v>0.03507424295952634</v>
      </c>
    </row>
    <row r="33" spans="1:21" ht="12.75">
      <c r="A33" s="5">
        <v>31</v>
      </c>
      <c r="B33" s="6" t="str">
        <f>B5</f>
        <v>Sunday</v>
      </c>
      <c r="C33" s="59"/>
      <c r="D33" s="7"/>
      <c r="E33" s="8" t="s">
        <v>26</v>
      </c>
      <c r="F33" s="6" t="s">
        <v>78</v>
      </c>
      <c r="G33" s="127" t="s">
        <v>296</v>
      </c>
      <c r="H33" s="9">
        <f t="shared" si="0"/>
        <v>12.054476377455513</v>
      </c>
      <c r="I33" s="9">
        <f t="shared" si="1"/>
        <v>6.159563659198333</v>
      </c>
      <c r="J33" s="9">
        <f t="shared" si="2"/>
        <v>0.26465094094115266</v>
      </c>
      <c r="K33" s="9">
        <f t="shared" si="3"/>
        <v>0.40956365919833293</v>
      </c>
      <c r="L33" s="9">
        <f t="shared" si="4"/>
        <v>0.5544763774555133</v>
      </c>
      <c r="M33" s="9">
        <f t="shared" si="5"/>
        <v>0.6993890957126935</v>
      </c>
      <c r="N33" s="9">
        <f t="shared" si="6"/>
        <v>0.8443018139698737</v>
      </c>
      <c r="O33" s="9">
        <f t="shared" si="7"/>
        <v>0.9493890957126934</v>
      </c>
      <c r="P33" s="9">
        <f>sunrise(Location!$B$4,Location!$B$5,Location!$B$6,5,A33,Location!$B$7,IF(Location!$B$8="No",0,1))</f>
        <v>0.26465094094115266</v>
      </c>
      <c r="Q33" s="9">
        <f>sunset(Location!$B$4,Location!$B$5,Location!$B$6,5,A33,Location!$B$7,IF(Location!$B$8="No",0,1))</f>
        <v>0.8443018139698737</v>
      </c>
      <c r="R33" s="9">
        <f t="shared" si="8"/>
        <v>0.5796508730287211</v>
      </c>
      <c r="S33" s="10">
        <f t="shared" si="9"/>
        <v>0.04830423941906009</v>
      </c>
      <c r="T33" s="9">
        <f t="shared" si="10"/>
        <v>23.420349126971278</v>
      </c>
      <c r="U33" s="10">
        <f t="shared" si="11"/>
        <v>0.03502909391427324</v>
      </c>
    </row>
    <row r="34" ht="12.75">
      <c r="B34" s="6"/>
    </row>
    <row r="35" ht="12.75">
      <c r="A35" s="6"/>
    </row>
    <row r="37" spans="3:5" ht="12.75">
      <c r="C37" s="58" t="str">
        <f>IF(Location!B9="No",Location!C13,Location!C14)</f>
        <v>D</v>
      </c>
      <c r="D37" s="52"/>
      <c r="E37" s="11"/>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U37"/>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177</v>
      </c>
      <c r="B1" s="118"/>
      <c r="C1" s="123"/>
      <c r="D1" s="119" t="str">
        <f>ROMAN(Location!$B$6)</f>
        <v>MMIX</v>
      </c>
      <c r="E1" s="118"/>
      <c r="F1" s="118"/>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132</v>
      </c>
      <c r="T2" s="27" t="s">
        <v>15</v>
      </c>
      <c r="U2" s="27" t="s">
        <v>133</v>
      </c>
    </row>
    <row r="3" spans="1:21" ht="12.75">
      <c r="A3" s="5">
        <v>1</v>
      </c>
      <c r="B3" s="6" t="str">
        <f>Maius!B27</f>
        <v>Monday</v>
      </c>
      <c r="C3" s="59"/>
      <c r="D3" s="92" t="s">
        <v>67</v>
      </c>
      <c r="E3" s="8" t="s">
        <v>29</v>
      </c>
      <c r="F3" s="6" t="s">
        <v>18</v>
      </c>
      <c r="G3" s="48" t="s">
        <v>131</v>
      </c>
      <c r="H3" s="9">
        <f aca="true" t="shared" si="0" ref="H3:H32">(T3/2)+Q3-"12:00:00"</f>
        <v>12.054579380886993</v>
      </c>
      <c r="I3" s="9">
        <f aca="true" t="shared" si="1" ref="I3:I32">H3+((J3-H3)/2)</f>
        <v>6.159537036611458</v>
      </c>
      <c r="J3" s="9">
        <f aca="true" t="shared" si="2" ref="J3:J32">P3</f>
        <v>0.2644946923359236</v>
      </c>
      <c r="K3" s="9">
        <f aca="true" t="shared" si="3" ref="K3:K32">J3+((L3-J3)/2)</f>
        <v>0.4095370366114583</v>
      </c>
      <c r="L3" s="9">
        <f aca="true" t="shared" si="4" ref="L3:L32">(R3/2)+J3</f>
        <v>0.554579380886993</v>
      </c>
      <c r="M3" s="9">
        <f aca="true" t="shared" si="5" ref="M3:M32">((N3-L3)/2)+L3</f>
        <v>0.6996217251625277</v>
      </c>
      <c r="N3" s="9">
        <f aca="true" t="shared" si="6" ref="N3:N32">Q3</f>
        <v>0.8446640694380625</v>
      </c>
      <c r="O3" s="9">
        <f aca="true" t="shared" si="7" ref="O3:O32">3*U3+N3</f>
        <v>0.9496217251625277</v>
      </c>
      <c r="P3" s="9">
        <f>sunrise(Location!$B$4,Location!$B$5,Location!$B$6,6,A3,Location!$B$7,IF(Location!$B$8="No",0,1))</f>
        <v>0.2644946923359236</v>
      </c>
      <c r="Q3" s="9">
        <f>sunset(Location!$B$4,Location!$B$5,Location!$B$6,6,A3,Location!$B$7,IF(Location!$B$8="No",0,1))</f>
        <v>0.8446640694380625</v>
      </c>
      <c r="R3" s="9">
        <f aca="true" t="shared" si="8" ref="R3:R32">Q3-P3</f>
        <v>0.5801693771021389</v>
      </c>
      <c r="S3" s="10">
        <f aca="true" t="shared" si="9" ref="S3:S32">R3/12</f>
        <v>0.04834744809184491</v>
      </c>
      <c r="T3" s="9">
        <f aca="true" t="shared" si="10" ref="T3:T32">(24-(Q3-P3))</f>
        <v>23.419830622897862</v>
      </c>
      <c r="U3" s="10">
        <f aca="true" t="shared" si="11" ref="U3:U32">"1:00:00"-S3+"1:00:00"</f>
        <v>0.03498588524148842</v>
      </c>
    </row>
    <row r="4" spans="1:21" ht="12.75">
      <c r="A4" s="5">
        <v>2</v>
      </c>
      <c r="B4" s="6" t="str">
        <f>Maius!B28</f>
        <v>Tuesday</v>
      </c>
      <c r="C4" s="59"/>
      <c r="D4" s="92" t="s">
        <v>69</v>
      </c>
      <c r="E4" s="8" t="s">
        <v>32</v>
      </c>
      <c r="F4" s="6" t="s">
        <v>93</v>
      </c>
      <c r="G4" s="136"/>
      <c r="H4" s="9">
        <f t="shared" si="0"/>
        <v>12.054686778483594</v>
      </c>
      <c r="I4" s="9">
        <f t="shared" si="1"/>
        <v>6.159520718019137</v>
      </c>
      <c r="J4" s="9">
        <f t="shared" si="2"/>
        <v>0.26435465755467946</v>
      </c>
      <c r="K4" s="9">
        <f t="shared" si="3"/>
        <v>0.40952071801913653</v>
      </c>
      <c r="L4" s="9">
        <f t="shared" si="4"/>
        <v>0.5546867784835936</v>
      </c>
      <c r="M4" s="9">
        <f t="shared" si="5"/>
        <v>0.6998528389480507</v>
      </c>
      <c r="N4" s="9">
        <f t="shared" si="6"/>
        <v>0.8450188994125079</v>
      </c>
      <c r="O4" s="9">
        <f t="shared" si="7"/>
        <v>0.9498528389480507</v>
      </c>
      <c r="P4" s="9">
        <f>sunrise(Location!$B$4,Location!$B$5,Location!$B$6,6,A4,Location!$B$7,IF(Location!$B$8="No",0,1))</f>
        <v>0.26435465755467946</v>
      </c>
      <c r="Q4" s="9">
        <f>sunset(Location!$B$4,Location!$B$5,Location!$B$6,6,A4,Location!$B$7,IF(Location!$B$8="No",0,1))</f>
        <v>0.8450188994125079</v>
      </c>
      <c r="R4" s="9">
        <f t="shared" si="8"/>
        <v>0.5806642418578284</v>
      </c>
      <c r="S4" s="10">
        <f t="shared" si="9"/>
        <v>0.0483886868214857</v>
      </c>
      <c r="T4" s="9">
        <f t="shared" si="10"/>
        <v>23.41933575814217</v>
      </c>
      <c r="U4" s="10">
        <f t="shared" si="11"/>
        <v>0.03494464651184763</v>
      </c>
    </row>
    <row r="5" spans="1:21" ht="12.75">
      <c r="A5" s="5">
        <v>3</v>
      </c>
      <c r="B5" s="6" t="str">
        <f>Maius!B29</f>
        <v>Wednesday</v>
      </c>
      <c r="C5" s="59"/>
      <c r="D5" s="7"/>
      <c r="E5" s="8" t="s">
        <v>36</v>
      </c>
      <c r="F5" s="6" t="s">
        <v>94</v>
      </c>
      <c r="G5" s="138" t="s">
        <v>212</v>
      </c>
      <c r="H5" s="9">
        <f t="shared" si="0"/>
        <v>12.054798373439167</v>
      </c>
      <c r="I5" s="9">
        <f t="shared" si="1"/>
        <v>6.1595145922551335</v>
      </c>
      <c r="J5" s="9">
        <f t="shared" si="2"/>
        <v>0.26423081107109964</v>
      </c>
      <c r="K5" s="9">
        <f t="shared" si="3"/>
        <v>0.4095145922551334</v>
      </c>
      <c r="L5" s="9">
        <f t="shared" si="4"/>
        <v>0.5547983734391673</v>
      </c>
      <c r="M5" s="9">
        <f t="shared" si="5"/>
        <v>0.7000821546232011</v>
      </c>
      <c r="N5" s="9">
        <f t="shared" si="6"/>
        <v>0.845365935807235</v>
      </c>
      <c r="O5" s="9">
        <f t="shared" si="7"/>
        <v>0.9500821546232011</v>
      </c>
      <c r="P5" s="9">
        <f>sunrise(Location!$B$4,Location!$B$5,Location!$B$6,6,A5,Location!$B$7,IF(Location!$B$8="No",0,1))</f>
        <v>0.26423081107109964</v>
      </c>
      <c r="Q5" s="9">
        <f>sunset(Location!$B$4,Location!$B$5,Location!$B$6,6,A5,Location!$B$7,IF(Location!$B$8="No",0,1))</f>
        <v>0.845365935807235</v>
      </c>
      <c r="R5" s="9">
        <f t="shared" si="8"/>
        <v>0.5811351247361354</v>
      </c>
      <c r="S5" s="10">
        <f t="shared" si="9"/>
        <v>0.04842792706134461</v>
      </c>
      <c r="T5" s="9">
        <f t="shared" si="10"/>
        <v>23.418864875263864</v>
      </c>
      <c r="U5" s="10">
        <f t="shared" si="11"/>
        <v>0.034905406271988716</v>
      </c>
    </row>
    <row r="6" spans="1:21" ht="12.75">
      <c r="A6" s="5">
        <v>4</v>
      </c>
      <c r="B6" s="6" t="str">
        <f>Maius!B30</f>
        <v>Thursday</v>
      </c>
      <c r="C6" s="59"/>
      <c r="D6" s="92" t="s">
        <v>72</v>
      </c>
      <c r="E6" s="8" t="s">
        <v>17</v>
      </c>
      <c r="F6" s="6" t="s">
        <v>27</v>
      </c>
      <c r="G6" s="140"/>
      <c r="H6" s="9">
        <f t="shared" si="0"/>
        <v>12.054913961771875</v>
      </c>
      <c r="I6" s="9">
        <f t="shared" si="1"/>
        <v>6.159518537698487</v>
      </c>
      <c r="J6" s="9">
        <f t="shared" si="2"/>
        <v>0.2641231136250979</v>
      </c>
      <c r="K6" s="9">
        <f t="shared" si="3"/>
        <v>0.4095185376984872</v>
      </c>
      <c r="L6" s="9">
        <f t="shared" si="4"/>
        <v>0.5549139617718765</v>
      </c>
      <c r="M6" s="9">
        <f t="shared" si="5"/>
        <v>0.7003093858452658</v>
      </c>
      <c r="N6" s="9">
        <f t="shared" si="6"/>
        <v>0.845704809918655</v>
      </c>
      <c r="O6" s="9">
        <f t="shared" si="7"/>
        <v>0.9503093858452658</v>
      </c>
      <c r="P6" s="9">
        <f>sunrise(Location!$B$4,Location!$B$5,Location!$B$6,6,A6,Location!$B$7,IF(Location!$B$8="No",0,1))</f>
        <v>0.2641231136250979</v>
      </c>
      <c r="Q6" s="9">
        <f>sunset(Location!$B$4,Location!$B$5,Location!$B$6,6,A6,Location!$B$7,IF(Location!$B$8="No",0,1))</f>
        <v>0.845704809918655</v>
      </c>
      <c r="R6" s="9">
        <f t="shared" si="8"/>
        <v>0.5815816962935572</v>
      </c>
      <c r="S6" s="10">
        <f t="shared" si="9"/>
        <v>0.04846514135779643</v>
      </c>
      <c r="T6" s="9">
        <f t="shared" si="10"/>
        <v>23.418418303706442</v>
      </c>
      <c r="U6" s="10">
        <f t="shared" si="11"/>
        <v>0.0348681919755369</v>
      </c>
    </row>
    <row r="7" spans="1:21" ht="12.75">
      <c r="A7" s="5">
        <v>5</v>
      </c>
      <c r="B7" s="6" t="str">
        <f>Maius!B10</f>
        <v>Friday</v>
      </c>
      <c r="C7" s="59"/>
      <c r="D7" s="92" t="s">
        <v>75</v>
      </c>
      <c r="E7" s="8" t="s">
        <v>21</v>
      </c>
      <c r="F7" s="6" t="s">
        <v>30</v>
      </c>
      <c r="G7" s="127" t="s">
        <v>297</v>
      </c>
      <c r="H7" s="9">
        <f t="shared" si="0"/>
        <v>12.055033332617477</v>
      </c>
      <c r="I7" s="9">
        <f t="shared" si="1"/>
        <v>6.159532422364846</v>
      </c>
      <c r="J7" s="9">
        <f t="shared" si="2"/>
        <v>0.2640315121122148</v>
      </c>
      <c r="K7" s="9">
        <f t="shared" si="3"/>
        <v>0.4095324223648459</v>
      </c>
      <c r="L7" s="9">
        <f t="shared" si="4"/>
        <v>0.555033332617477</v>
      </c>
      <c r="M7" s="9">
        <f t="shared" si="5"/>
        <v>0.700534242870108</v>
      </c>
      <c r="N7" s="9">
        <f t="shared" si="6"/>
        <v>0.846035153122739</v>
      </c>
      <c r="O7" s="9">
        <f t="shared" si="7"/>
        <v>0.9505342428701079</v>
      </c>
      <c r="P7" s="9">
        <f>sunrise(Location!$B$4,Location!$B$5,Location!$B$6,6,A7,Location!$B$7,IF(Location!$B$8="No",0,1))</f>
        <v>0.2640315121122148</v>
      </c>
      <c r="Q7" s="9">
        <f>sunset(Location!$B$4,Location!$B$5,Location!$B$6,6,A7,Location!$B$7,IF(Location!$B$8="No",0,1))</f>
        <v>0.846035153122739</v>
      </c>
      <c r="R7" s="9">
        <f t="shared" si="8"/>
        <v>0.5820036410105243</v>
      </c>
      <c r="S7" s="10">
        <f t="shared" si="9"/>
        <v>0.04850030341754369</v>
      </c>
      <c r="T7" s="9">
        <f t="shared" si="10"/>
        <v>23.417996358989477</v>
      </c>
      <c r="U7" s="10">
        <f t="shared" si="11"/>
        <v>0.03483302991578964</v>
      </c>
    </row>
    <row r="8" spans="1:21" ht="12.75">
      <c r="A8" s="5">
        <v>6</v>
      </c>
      <c r="B8" s="6" t="str">
        <f>Maius!B32</f>
        <v>Saturday</v>
      </c>
      <c r="C8" s="59"/>
      <c r="D8" s="7"/>
      <c r="E8" s="8" t="s">
        <v>24</v>
      </c>
      <c r="F8" s="6" t="s">
        <v>95</v>
      </c>
      <c r="G8" s="138" t="s">
        <v>212</v>
      </c>
      <c r="H8" s="9">
        <f t="shared" si="0"/>
        <v>12.0551562685406</v>
      </c>
      <c r="I8" s="9">
        <f t="shared" si="1"/>
        <v>6.159556104020244</v>
      </c>
      <c r="J8" s="9">
        <f t="shared" si="2"/>
        <v>0.263955939499889</v>
      </c>
      <c r="K8" s="9">
        <f t="shared" si="3"/>
        <v>0.409556104020245</v>
      </c>
      <c r="L8" s="9">
        <f t="shared" si="4"/>
        <v>0.5551562685406011</v>
      </c>
      <c r="M8" s="9">
        <f t="shared" si="5"/>
        <v>0.7007564330609571</v>
      </c>
      <c r="N8" s="9">
        <f t="shared" si="6"/>
        <v>0.8463565975813132</v>
      </c>
      <c r="O8" s="9">
        <f t="shared" si="7"/>
        <v>0.9507564330609571</v>
      </c>
      <c r="P8" s="9">
        <f>sunrise(Location!$B$4,Location!$B$5,Location!$B$6,6,A8,Location!$B$7,IF(Location!$B$8="No",0,1))</f>
        <v>0.263955939499889</v>
      </c>
      <c r="Q8" s="9">
        <f>sunset(Location!$B$4,Location!$B$5,Location!$B$6,6,A8,Location!$B$7,IF(Location!$B$8="No",0,1))</f>
        <v>0.8463565975813132</v>
      </c>
      <c r="R8" s="9">
        <f t="shared" si="8"/>
        <v>0.5824006580814243</v>
      </c>
      <c r="S8" s="10">
        <f t="shared" si="9"/>
        <v>0.04853338817345202</v>
      </c>
      <c r="T8" s="9">
        <f t="shared" si="10"/>
        <v>23.417599341918574</v>
      </c>
      <c r="U8" s="10">
        <f t="shared" si="11"/>
        <v>0.03479994515988131</v>
      </c>
    </row>
    <row r="9" spans="1:21" ht="12.75">
      <c r="A9" s="5">
        <v>7</v>
      </c>
      <c r="B9" s="6" t="str">
        <f>Maius!B33</f>
        <v>Sunday</v>
      </c>
      <c r="C9" s="59"/>
      <c r="D9" s="92" t="s">
        <v>20</v>
      </c>
      <c r="E9" s="8" t="s">
        <v>26</v>
      </c>
      <c r="F9" s="6" t="s">
        <v>96</v>
      </c>
      <c r="G9" s="141" t="s">
        <v>203</v>
      </c>
      <c r="H9" s="9">
        <f t="shared" si="0"/>
        <v>12.05528254586065</v>
      </c>
      <c r="I9" s="9">
        <f t="shared" si="1"/>
        <v>6.159589430316546</v>
      </c>
      <c r="J9" s="9">
        <f t="shared" si="2"/>
        <v>0.2638963147724429</v>
      </c>
      <c r="K9" s="9">
        <f t="shared" si="3"/>
        <v>0.40958943031654593</v>
      </c>
      <c r="L9" s="9">
        <f t="shared" si="4"/>
        <v>0.555282545860649</v>
      </c>
      <c r="M9" s="9">
        <f t="shared" si="5"/>
        <v>0.700975661404752</v>
      </c>
      <c r="N9" s="9">
        <f t="shared" si="6"/>
        <v>0.8466687769488549</v>
      </c>
      <c r="O9" s="9">
        <f t="shared" si="7"/>
        <v>0.9509756614047519</v>
      </c>
      <c r="P9" s="9">
        <f>sunrise(Location!$B$4,Location!$B$5,Location!$B$6,6,A9,Location!$B$7,IF(Location!$B$8="No",0,1))</f>
        <v>0.2638963147724429</v>
      </c>
      <c r="Q9" s="9">
        <f>sunset(Location!$B$4,Location!$B$5,Location!$B$6,6,A9,Location!$B$7,IF(Location!$B$8="No",0,1))</f>
        <v>0.8466687769488549</v>
      </c>
      <c r="R9" s="9">
        <f t="shared" si="8"/>
        <v>0.582772462176412</v>
      </c>
      <c r="S9" s="10">
        <f t="shared" si="9"/>
        <v>0.04856437184803433</v>
      </c>
      <c r="T9" s="9">
        <f t="shared" si="10"/>
        <v>23.41722753782359</v>
      </c>
      <c r="U9" s="10">
        <f t="shared" si="11"/>
        <v>0.034768961485298996</v>
      </c>
    </row>
    <row r="10" spans="1:21" ht="12.75">
      <c r="A10" s="5">
        <v>8</v>
      </c>
      <c r="B10" s="6" t="str">
        <f aca="true" t="shared" si="12" ref="B10:B16">B3</f>
        <v>Monday</v>
      </c>
      <c r="C10" s="59"/>
      <c r="D10" s="7"/>
      <c r="E10" s="8" t="s">
        <v>29</v>
      </c>
      <c r="F10" s="6" t="s">
        <v>97</v>
      </c>
      <c r="G10" s="136"/>
      <c r="H10" s="9">
        <f t="shared" si="0"/>
        <v>12.055411934994464</v>
      </c>
      <c r="I10" s="9">
        <f t="shared" si="1"/>
        <v>6.1596322389500635</v>
      </c>
      <c r="J10" s="9">
        <f t="shared" si="2"/>
        <v>0.26385254290566335</v>
      </c>
      <c r="K10" s="9">
        <f t="shared" si="3"/>
        <v>0.4096322389500635</v>
      </c>
      <c r="L10" s="9">
        <f t="shared" si="4"/>
        <v>0.5554119349944637</v>
      </c>
      <c r="M10" s="9">
        <f t="shared" si="5"/>
        <v>0.701191631038864</v>
      </c>
      <c r="N10" s="9">
        <f t="shared" si="6"/>
        <v>0.8469713270832642</v>
      </c>
      <c r="O10" s="9">
        <f t="shared" si="7"/>
        <v>0.951191631038864</v>
      </c>
      <c r="P10" s="9">
        <f>sunrise(Location!$B$4,Location!$B$5,Location!$B$6,6,A10,Location!$B$7,IF(Location!$B$8="No",0,1))</f>
        <v>0.26385254290566335</v>
      </c>
      <c r="Q10" s="9">
        <f>sunset(Location!$B$4,Location!$B$5,Location!$B$6,6,A10,Location!$B$7,IF(Location!$B$8="No",0,1))</f>
        <v>0.8469713270832642</v>
      </c>
      <c r="R10" s="9">
        <f t="shared" si="8"/>
        <v>0.5831187841776009</v>
      </c>
      <c r="S10" s="10">
        <f t="shared" si="9"/>
        <v>0.04859323201480007</v>
      </c>
      <c r="T10" s="9">
        <f t="shared" si="10"/>
        <v>23.4168812158224</v>
      </c>
      <c r="U10" s="10">
        <f t="shared" si="11"/>
        <v>0.03474010131853326</v>
      </c>
    </row>
    <row r="11" spans="1:21" ht="12.75">
      <c r="A11" s="5">
        <v>9</v>
      </c>
      <c r="B11" s="6" t="str">
        <f t="shared" si="12"/>
        <v>Tuesday</v>
      </c>
      <c r="C11" s="59"/>
      <c r="D11" s="92" t="s">
        <v>23</v>
      </c>
      <c r="E11" s="8" t="s">
        <v>32</v>
      </c>
      <c r="F11" s="6" t="s">
        <v>98</v>
      </c>
      <c r="G11" s="48" t="s">
        <v>135</v>
      </c>
      <c r="H11" s="9">
        <f t="shared" si="0"/>
        <v>12.055544200812726</v>
      </c>
      <c r="I11" s="9">
        <f t="shared" si="1"/>
        <v>6.159684357842498</v>
      </c>
      <c r="J11" s="9">
        <f t="shared" si="2"/>
        <v>0.2638245148722698</v>
      </c>
      <c r="K11" s="9">
        <f t="shared" si="3"/>
        <v>0.40968435784249824</v>
      </c>
      <c r="L11" s="9">
        <f t="shared" si="4"/>
        <v>0.5555442008127267</v>
      </c>
      <c r="M11" s="9">
        <f t="shared" si="5"/>
        <v>0.7014040437829551</v>
      </c>
      <c r="N11" s="9">
        <f t="shared" si="6"/>
        <v>0.8472638867531834</v>
      </c>
      <c r="O11" s="9">
        <f t="shared" si="7"/>
        <v>0.951404043782955</v>
      </c>
      <c r="P11" s="9">
        <f>sunrise(Location!$B$4,Location!$B$5,Location!$B$6,6,A11,Location!$B$7,IF(Location!$B$8="No",0,1))</f>
        <v>0.2638245148722698</v>
      </c>
      <c r="Q11" s="9">
        <f>sunset(Location!$B$4,Location!$B$5,Location!$B$6,6,A11,Location!$B$7,IF(Location!$B$8="No",0,1))</f>
        <v>0.8472638867531834</v>
      </c>
      <c r="R11" s="9">
        <f t="shared" si="8"/>
        <v>0.5834393718809137</v>
      </c>
      <c r="S11" s="10">
        <f t="shared" si="9"/>
        <v>0.0486199476567428</v>
      </c>
      <c r="T11" s="9">
        <f t="shared" si="10"/>
        <v>23.416560628119086</v>
      </c>
      <c r="U11" s="10">
        <f t="shared" si="11"/>
        <v>0.034713385676590526</v>
      </c>
    </row>
    <row r="12" spans="1:21" ht="12.75">
      <c r="A12" s="5">
        <v>10</v>
      </c>
      <c r="B12" s="6" t="str">
        <f t="shared" si="12"/>
        <v>Wednesday</v>
      </c>
      <c r="C12" s="59"/>
      <c r="D12" s="92" t="s">
        <v>28</v>
      </c>
      <c r="E12" s="8" t="s">
        <v>36</v>
      </c>
      <c r="F12" s="6" t="s">
        <v>99</v>
      </c>
      <c r="G12" s="136"/>
      <c r="H12" s="9">
        <f t="shared" si="0"/>
        <v>12.055679103011316</v>
      </c>
      <c r="I12" s="9">
        <f t="shared" si="1"/>
        <v>6.159745605345303</v>
      </c>
      <c r="J12" s="9">
        <f t="shared" si="2"/>
        <v>0.2638121076792884</v>
      </c>
      <c r="K12" s="9">
        <f t="shared" si="3"/>
        <v>0.40974560534530247</v>
      </c>
      <c r="L12" s="9">
        <f t="shared" si="4"/>
        <v>0.5556791030113165</v>
      </c>
      <c r="M12" s="9">
        <f t="shared" si="5"/>
        <v>0.7016126006773306</v>
      </c>
      <c r="N12" s="9">
        <f t="shared" si="6"/>
        <v>0.8475460983433446</v>
      </c>
      <c r="O12" s="9">
        <f t="shared" si="7"/>
        <v>0.9516126006773306</v>
      </c>
      <c r="P12" s="9">
        <f>sunrise(Location!$B$4,Location!$B$5,Location!$B$6,6,A12,Location!$B$7,IF(Location!$B$8="No",0,1))</f>
        <v>0.2638121076792884</v>
      </c>
      <c r="Q12" s="9">
        <f>sunset(Location!$B$4,Location!$B$5,Location!$B$6,6,A12,Location!$B$7,IF(Location!$B$8="No",0,1))</f>
        <v>0.8475460983433446</v>
      </c>
      <c r="R12" s="9">
        <f t="shared" si="8"/>
        <v>0.5837339906640562</v>
      </c>
      <c r="S12" s="10">
        <f t="shared" si="9"/>
        <v>0.04864449922200468</v>
      </c>
      <c r="T12" s="9">
        <f t="shared" si="10"/>
        <v>23.416266009335942</v>
      </c>
      <c r="U12" s="10">
        <f t="shared" si="11"/>
        <v>0.03468883411132865</v>
      </c>
    </row>
    <row r="13" spans="1:21" ht="12.75">
      <c r="A13" s="5">
        <v>11</v>
      </c>
      <c r="B13" s="6" t="str">
        <f t="shared" si="12"/>
        <v>Thursday</v>
      </c>
      <c r="C13" s="59"/>
      <c r="D13" s="7"/>
      <c r="E13" s="8" t="s">
        <v>17</v>
      </c>
      <c r="F13" s="6" t="s">
        <v>101</v>
      </c>
      <c r="G13" s="125" t="s">
        <v>204</v>
      </c>
      <c r="H13" s="9">
        <f t="shared" si="0"/>
        <v>12.055816396494757</v>
      </c>
      <c r="I13" s="9">
        <f t="shared" si="1"/>
        <v>6.159815790466431</v>
      </c>
      <c r="J13" s="9">
        <f t="shared" si="2"/>
        <v>0.2638151844381055</v>
      </c>
      <c r="K13" s="9">
        <f t="shared" si="3"/>
        <v>0.40981579046643163</v>
      </c>
      <c r="L13" s="9">
        <f t="shared" si="4"/>
        <v>0.5558163964947578</v>
      </c>
      <c r="M13" s="9">
        <f t="shared" si="5"/>
        <v>0.7018170025230839</v>
      </c>
      <c r="N13" s="9">
        <f t="shared" si="6"/>
        <v>0.84781760855141</v>
      </c>
      <c r="O13" s="9">
        <f t="shared" si="7"/>
        <v>0.9518170025230839</v>
      </c>
      <c r="P13" s="9">
        <f>sunrise(Location!$B$4,Location!$B$5,Location!$B$6,6,A13,Location!$B$7,IF(Location!$B$8="No",0,1))</f>
        <v>0.2638151844381055</v>
      </c>
      <c r="Q13" s="9">
        <f>sunset(Location!$B$4,Location!$B$5,Location!$B$6,6,A13,Location!$B$7,IF(Location!$B$8="No",0,1))</f>
        <v>0.84781760855141</v>
      </c>
      <c r="R13" s="9">
        <f t="shared" si="8"/>
        <v>0.5840024241133045</v>
      </c>
      <c r="S13" s="10">
        <f t="shared" si="9"/>
        <v>0.048666868676108706</v>
      </c>
      <c r="T13" s="9">
        <f t="shared" si="10"/>
        <v>23.415997575886696</v>
      </c>
      <c r="U13" s="10">
        <f t="shared" si="11"/>
        <v>0.03466646465722462</v>
      </c>
    </row>
    <row r="14" spans="1:21" ht="12.75">
      <c r="A14" s="5">
        <v>12</v>
      </c>
      <c r="B14" s="6" t="str">
        <f t="shared" si="12"/>
        <v>Friday</v>
      </c>
      <c r="C14" s="59"/>
      <c r="D14" s="92" t="s">
        <v>35</v>
      </c>
      <c r="E14" s="8" t="s">
        <v>21</v>
      </c>
      <c r="F14" s="6" t="s">
        <v>46</v>
      </c>
      <c r="G14" s="151" t="s">
        <v>331</v>
      </c>
      <c r="H14" s="9">
        <f t="shared" si="0"/>
        <v>12.05595583177259</v>
      </c>
      <c r="I14" s="9">
        <f t="shared" si="1"/>
        <v>6.159894713120339</v>
      </c>
      <c r="J14" s="9">
        <f t="shared" si="2"/>
        <v>0.26383359446808874</v>
      </c>
      <c r="K14" s="9">
        <f t="shared" si="3"/>
        <v>0.4098947131203395</v>
      </c>
      <c r="L14" s="9">
        <f t="shared" si="4"/>
        <v>0.5559558317725902</v>
      </c>
      <c r="M14" s="9">
        <f t="shared" si="5"/>
        <v>0.702016950424841</v>
      </c>
      <c r="N14" s="9">
        <f t="shared" si="6"/>
        <v>0.8480780690770917</v>
      </c>
      <c r="O14" s="9">
        <f t="shared" si="7"/>
        <v>0.952016950424841</v>
      </c>
      <c r="P14" s="9">
        <f>sunrise(Location!$B$4,Location!$B$5,Location!$B$6,6,A14,Location!$B$7,IF(Location!$B$8="No",0,1))</f>
        <v>0.26383359446808874</v>
      </c>
      <c r="Q14" s="9">
        <f>sunset(Location!$B$4,Location!$B$5,Location!$B$6,6,A14,Location!$B$7,IF(Location!$B$8="No",0,1))</f>
        <v>0.8480780690770917</v>
      </c>
      <c r="R14" s="9">
        <f t="shared" si="8"/>
        <v>0.584244474609003</v>
      </c>
      <c r="S14" s="10">
        <f t="shared" si="9"/>
        <v>0.048687039550750245</v>
      </c>
      <c r="T14" s="9">
        <f t="shared" si="10"/>
        <v>23.415755525390995</v>
      </c>
      <c r="U14" s="10">
        <f t="shared" si="11"/>
        <v>0.03464629378258308</v>
      </c>
    </row>
    <row r="15" spans="1:21" ht="12.75">
      <c r="A15" s="5">
        <v>13</v>
      </c>
      <c r="B15" s="6" t="str">
        <f t="shared" si="12"/>
        <v>Saturday</v>
      </c>
      <c r="C15" s="59"/>
      <c r="D15" s="92" t="s">
        <v>38</v>
      </c>
      <c r="E15" s="8" t="s">
        <v>24</v>
      </c>
      <c r="F15" s="6" t="s">
        <v>47</v>
      </c>
      <c r="G15" s="140"/>
      <c r="H15" s="9">
        <f t="shared" si="0"/>
        <v>12.056097155366704</v>
      </c>
      <c r="I15" s="9">
        <f t="shared" si="1"/>
        <v>6.159982164400508</v>
      </c>
      <c r="J15" s="9">
        <f t="shared" si="2"/>
        <v>0.2638671734343112</v>
      </c>
      <c r="K15" s="9">
        <f t="shared" si="3"/>
        <v>0.4099821644005068</v>
      </c>
      <c r="L15" s="9">
        <f t="shared" si="4"/>
        <v>0.5560971553667023</v>
      </c>
      <c r="M15" s="9">
        <f t="shared" si="5"/>
        <v>0.7022121463328979</v>
      </c>
      <c r="N15" s="9">
        <f t="shared" si="6"/>
        <v>0.8483271372990935</v>
      </c>
      <c r="O15" s="9">
        <f t="shared" si="7"/>
        <v>0.9522121463328979</v>
      </c>
      <c r="P15" s="9">
        <f>sunrise(Location!$B$4,Location!$B$5,Location!$B$6,6,A15,Location!$B$7,IF(Location!$B$8="No",0,1))</f>
        <v>0.2638671734343112</v>
      </c>
      <c r="Q15" s="9">
        <f>sunset(Location!$B$4,Location!$B$5,Location!$B$6,6,A15,Location!$B$7,IF(Location!$B$8="No",0,1))</f>
        <v>0.8483271372990935</v>
      </c>
      <c r="R15" s="9">
        <f t="shared" si="8"/>
        <v>0.5844599638647823</v>
      </c>
      <c r="S15" s="10">
        <f t="shared" si="9"/>
        <v>0.048704996988731854</v>
      </c>
      <c r="T15" s="9">
        <f t="shared" si="10"/>
        <v>23.41554003613522</v>
      </c>
      <c r="U15" s="10">
        <f t="shared" si="11"/>
        <v>0.034628336344601475</v>
      </c>
    </row>
    <row r="16" spans="1:21" ht="12.75">
      <c r="A16" s="5">
        <v>14</v>
      </c>
      <c r="B16" s="6" t="str">
        <f t="shared" si="12"/>
        <v>Sunday</v>
      </c>
      <c r="C16" s="59"/>
      <c r="D16" s="7"/>
      <c r="E16" s="8" t="s">
        <v>26</v>
      </c>
      <c r="F16" s="6" t="s">
        <v>123</v>
      </c>
      <c r="G16" s="138" t="s">
        <v>299</v>
      </c>
      <c r="H16" s="9">
        <f t="shared" si="0"/>
        <v>12.05624011022896</v>
      </c>
      <c r="I16" s="9">
        <f t="shared" si="1"/>
        <v>6.160077926874492</v>
      </c>
      <c r="J16" s="9">
        <f t="shared" si="2"/>
        <v>0.2639157435200242</v>
      </c>
      <c r="K16" s="9">
        <f t="shared" si="3"/>
        <v>0.4100779268744919</v>
      </c>
      <c r="L16" s="9">
        <f t="shared" si="4"/>
        <v>0.5562401102289596</v>
      </c>
      <c r="M16" s="9">
        <f t="shared" si="5"/>
        <v>0.7024022935834273</v>
      </c>
      <c r="N16" s="9">
        <f t="shared" si="6"/>
        <v>0.848564476937895</v>
      </c>
      <c r="O16" s="9">
        <f t="shared" si="7"/>
        <v>0.9524022935834273</v>
      </c>
      <c r="P16" s="9">
        <f>sunrise(Location!$B$4,Location!$B$5,Location!$B$6,6,A16,Location!$B$7,IF(Location!$B$8="No",0,1))</f>
        <v>0.2639157435200242</v>
      </c>
      <c r="Q16" s="9">
        <f>sunset(Location!$B$4,Location!$B$5,Location!$B$6,6,A16,Location!$B$7,IF(Location!$B$8="No",0,1))</f>
        <v>0.848564476937895</v>
      </c>
      <c r="R16" s="9">
        <f t="shared" si="8"/>
        <v>0.5846487334178708</v>
      </c>
      <c r="S16" s="10">
        <f t="shared" si="9"/>
        <v>0.048720727784822566</v>
      </c>
      <c r="T16" s="9">
        <f t="shared" si="10"/>
        <v>23.415351266582128</v>
      </c>
      <c r="U16" s="10">
        <f t="shared" si="11"/>
        <v>0.03461260554851076</v>
      </c>
    </row>
    <row r="17" spans="1:21" ht="12.75">
      <c r="A17" s="5">
        <v>15</v>
      </c>
      <c r="B17" s="6" t="str">
        <f aca="true" t="shared" si="13" ref="B17:B23">B3</f>
        <v>Monday</v>
      </c>
      <c r="C17" s="59"/>
      <c r="D17" s="92" t="s">
        <v>40</v>
      </c>
      <c r="E17" s="8" t="s">
        <v>29</v>
      </c>
      <c r="F17" s="6" t="s">
        <v>102</v>
      </c>
      <c r="G17" s="130" t="s">
        <v>298</v>
      </c>
      <c r="H17" s="9">
        <f t="shared" si="0"/>
        <v>12.056384436168194</v>
      </c>
      <c r="I17" s="9">
        <f t="shared" si="1"/>
        <v>6.160181774901064</v>
      </c>
      <c r="J17" s="9">
        <f t="shared" si="2"/>
        <v>0.26397911363393256</v>
      </c>
      <c r="K17" s="9">
        <f t="shared" si="3"/>
        <v>0.4101817749010633</v>
      </c>
      <c r="L17" s="9">
        <f t="shared" si="4"/>
        <v>0.556384436168194</v>
      </c>
      <c r="M17" s="9">
        <f t="shared" si="5"/>
        <v>0.7025870974353247</v>
      </c>
      <c r="N17" s="9">
        <f t="shared" si="6"/>
        <v>0.8487897587024553</v>
      </c>
      <c r="O17" s="9">
        <f t="shared" si="7"/>
        <v>0.9525870974353245</v>
      </c>
      <c r="P17" s="9">
        <f>sunrise(Location!$B$4,Location!$B$5,Location!$B$6,6,A17,Location!$B$7,IF(Location!$B$8="No",0,1))</f>
        <v>0.26397911363393256</v>
      </c>
      <c r="Q17" s="9">
        <f>sunset(Location!$B$4,Location!$B$5,Location!$B$6,6,A17,Location!$B$7,IF(Location!$B$8="No",0,1))</f>
        <v>0.8487897587024553</v>
      </c>
      <c r="R17" s="9">
        <f t="shared" si="8"/>
        <v>0.5848106450685228</v>
      </c>
      <c r="S17" s="10">
        <f t="shared" si="9"/>
        <v>0.0487342204223769</v>
      </c>
      <c r="T17" s="9">
        <f t="shared" si="10"/>
        <v>23.415189354931478</v>
      </c>
      <c r="U17" s="10">
        <f t="shared" si="11"/>
        <v>0.03459911291095643</v>
      </c>
    </row>
    <row r="18" spans="1:21" ht="12.75">
      <c r="A18" s="5">
        <v>16</v>
      </c>
      <c r="B18" s="6" t="str">
        <f t="shared" si="13"/>
        <v>Tuesday</v>
      </c>
      <c r="C18" s="59"/>
      <c r="D18" s="92" t="s">
        <v>42</v>
      </c>
      <c r="E18" s="8" t="s">
        <v>32</v>
      </c>
      <c r="F18" s="6" t="s">
        <v>103</v>
      </c>
      <c r="G18" s="136"/>
      <c r="H18" s="9">
        <f t="shared" si="0"/>
        <v>12.056529870285457</v>
      </c>
      <c r="I18" s="9">
        <f t="shared" si="1"/>
        <v>6.160293474969159</v>
      </c>
      <c r="J18" s="9">
        <f t="shared" si="2"/>
        <v>0.26405707965286157</v>
      </c>
      <c r="K18" s="9">
        <f t="shared" si="3"/>
        <v>0.4102934749691597</v>
      </c>
      <c r="L18" s="9">
        <f t="shared" si="4"/>
        <v>0.5565298702854578</v>
      </c>
      <c r="M18" s="9">
        <f t="shared" si="5"/>
        <v>0.7027662656017559</v>
      </c>
      <c r="N18" s="9">
        <f t="shared" si="6"/>
        <v>0.849002660918054</v>
      </c>
      <c r="O18" s="9">
        <f t="shared" si="7"/>
        <v>0.9527662656017558</v>
      </c>
      <c r="P18" s="9">
        <f>sunrise(Location!$B$4,Location!$B$5,Location!$B$6,6,A18,Location!$B$7,IF(Location!$B$8="No",0,1))</f>
        <v>0.26405707965286157</v>
      </c>
      <c r="Q18" s="9">
        <f>sunset(Location!$B$4,Location!$B$5,Location!$B$6,6,A18,Location!$B$7,IF(Location!$B$8="No",0,1))</f>
        <v>0.849002660918054</v>
      </c>
      <c r="R18" s="9">
        <f t="shared" si="8"/>
        <v>0.5849455812651925</v>
      </c>
      <c r="S18" s="10">
        <f t="shared" si="9"/>
        <v>0.048745465105432706</v>
      </c>
      <c r="T18" s="9">
        <f t="shared" si="10"/>
        <v>23.415054418734808</v>
      </c>
      <c r="U18" s="10">
        <f t="shared" si="11"/>
        <v>0.03458786822790062</v>
      </c>
    </row>
    <row r="19" spans="1:21" ht="12.75">
      <c r="A19" s="5">
        <v>17</v>
      </c>
      <c r="B19" s="6" t="str">
        <f t="shared" si="13"/>
        <v>Wednesday</v>
      </c>
      <c r="C19" s="59"/>
      <c r="D19" s="7"/>
      <c r="E19" s="8" t="s">
        <v>36</v>
      </c>
      <c r="F19" s="6" t="s">
        <v>105</v>
      </c>
      <c r="G19" s="136"/>
      <c r="H19" s="9">
        <f t="shared" si="0"/>
        <v>12.05667614741602</v>
      </c>
      <c r="I19" s="9">
        <f t="shared" si="1"/>
        <v>6.160412786057641</v>
      </c>
      <c r="J19" s="9">
        <f t="shared" si="2"/>
        <v>0.2641494246992627</v>
      </c>
      <c r="K19" s="9">
        <f t="shared" si="3"/>
        <v>0.41041278605764225</v>
      </c>
      <c r="L19" s="9">
        <f t="shared" si="4"/>
        <v>0.5566761474160218</v>
      </c>
      <c r="M19" s="9">
        <f t="shared" si="5"/>
        <v>0.7029395087744013</v>
      </c>
      <c r="N19" s="9">
        <f t="shared" si="6"/>
        <v>0.8492028701327808</v>
      </c>
      <c r="O19" s="9">
        <f t="shared" si="7"/>
        <v>0.9529395087744013</v>
      </c>
      <c r="P19" s="9">
        <f>sunrise(Location!$B$4,Location!$B$5,Location!$B$6,6,A19,Location!$B$7,IF(Location!$B$8="No",0,1))</f>
        <v>0.2641494246992627</v>
      </c>
      <c r="Q19" s="9">
        <f>sunset(Location!$B$4,Location!$B$5,Location!$B$6,6,A19,Location!$B$7,IF(Location!$B$8="No",0,1))</f>
        <v>0.8492028701327808</v>
      </c>
      <c r="R19" s="9">
        <f t="shared" si="8"/>
        <v>0.5850534454335181</v>
      </c>
      <c r="S19" s="10">
        <f t="shared" si="9"/>
        <v>0.04875445378612651</v>
      </c>
      <c r="T19" s="9">
        <f t="shared" si="10"/>
        <v>23.41494655456648</v>
      </c>
      <c r="U19" s="10">
        <f t="shared" si="11"/>
        <v>0.03457887954720682</v>
      </c>
    </row>
    <row r="20" spans="1:21" ht="12.75">
      <c r="A20" s="5">
        <v>18</v>
      </c>
      <c r="B20" s="6" t="str">
        <f t="shared" si="13"/>
        <v>Thursday</v>
      </c>
      <c r="C20" s="59"/>
      <c r="D20" s="92" t="s">
        <v>45</v>
      </c>
      <c r="E20" s="8" t="s">
        <v>17</v>
      </c>
      <c r="F20" s="6" t="s">
        <v>107</v>
      </c>
      <c r="G20" s="136"/>
      <c r="H20" s="9">
        <f t="shared" si="0"/>
        <v>12.05682300057805</v>
      </c>
      <c r="I20" s="9">
        <f t="shared" si="1"/>
        <v>6.160539460015984</v>
      </c>
      <c r="J20" s="9">
        <f t="shared" si="2"/>
        <v>0.26425591945392035</v>
      </c>
      <c r="K20" s="9">
        <f t="shared" si="3"/>
        <v>0.4105394600159851</v>
      </c>
      <c r="L20" s="9">
        <f t="shared" si="4"/>
        <v>0.5568230005780499</v>
      </c>
      <c r="M20" s="9">
        <f t="shared" si="5"/>
        <v>0.7031065411401147</v>
      </c>
      <c r="N20" s="9">
        <f t="shared" si="6"/>
        <v>0.8493900817021794</v>
      </c>
      <c r="O20" s="9">
        <f t="shared" si="7"/>
        <v>0.9531065411401146</v>
      </c>
      <c r="P20" s="9">
        <f>sunrise(Location!$B$4,Location!$B$5,Location!$B$6,6,A20,Location!$B$7,IF(Location!$B$8="No",0,1))</f>
        <v>0.26425591945392035</v>
      </c>
      <c r="Q20" s="9">
        <f>sunset(Location!$B$4,Location!$B$5,Location!$B$6,6,A20,Location!$B$7,IF(Location!$B$8="No",0,1))</f>
        <v>0.8493900817021794</v>
      </c>
      <c r="R20" s="9">
        <f t="shared" si="8"/>
        <v>0.5851341622482591</v>
      </c>
      <c r="S20" s="10">
        <f t="shared" si="9"/>
        <v>0.048761180187354924</v>
      </c>
      <c r="T20" s="9">
        <f t="shared" si="10"/>
        <v>23.41486583775174</v>
      </c>
      <c r="U20" s="10">
        <f t="shared" si="11"/>
        <v>0.034572153145978404</v>
      </c>
    </row>
    <row r="21" spans="1:21" ht="12.75">
      <c r="A21" s="5">
        <v>19</v>
      </c>
      <c r="B21" s="6" t="str">
        <f t="shared" si="13"/>
        <v>Friday</v>
      </c>
      <c r="C21" s="59"/>
      <c r="D21" s="7"/>
      <c r="E21" s="8" t="s">
        <v>21</v>
      </c>
      <c r="F21" s="6" t="s">
        <v>108</v>
      </c>
      <c r="G21" s="136"/>
      <c r="H21" s="9">
        <f t="shared" si="0"/>
        <v>12.05697016142547</v>
      </c>
      <c r="I21" s="9">
        <f t="shared" si="1"/>
        <v>6.160673241964301</v>
      </c>
      <c r="J21" s="9">
        <f t="shared" si="2"/>
        <v>0.2643763225031321</v>
      </c>
      <c r="K21" s="9">
        <f t="shared" si="3"/>
        <v>0.41067324196430055</v>
      </c>
      <c r="L21" s="9">
        <f t="shared" si="4"/>
        <v>0.556970161425469</v>
      </c>
      <c r="M21" s="9">
        <f t="shared" si="5"/>
        <v>0.7032670808866375</v>
      </c>
      <c r="N21" s="9">
        <f t="shared" si="6"/>
        <v>0.8495640003478059</v>
      </c>
      <c r="O21" s="9">
        <f t="shared" si="7"/>
        <v>0.9532670808866375</v>
      </c>
      <c r="P21" s="9">
        <f>sunrise(Location!$B$4,Location!$B$5,Location!$B$6,6,A21,Location!$B$7,IF(Location!$B$8="No",0,1))</f>
        <v>0.2643763225031321</v>
      </c>
      <c r="Q21" s="9">
        <f>sunset(Location!$B$4,Location!$B$5,Location!$B$6,6,A21,Location!$B$7,IF(Location!$B$8="No",0,1))</f>
        <v>0.8495640003478059</v>
      </c>
      <c r="R21" s="9">
        <f t="shared" si="8"/>
        <v>0.5851876778446738</v>
      </c>
      <c r="S21" s="10">
        <f t="shared" si="9"/>
        <v>0.048765639820389485</v>
      </c>
      <c r="T21" s="9">
        <f t="shared" si="10"/>
        <v>23.414812322155328</v>
      </c>
      <c r="U21" s="10">
        <f t="shared" si="11"/>
        <v>0.034567693512943844</v>
      </c>
    </row>
    <row r="22" spans="1:21" ht="12.75">
      <c r="A22" s="5">
        <v>20</v>
      </c>
      <c r="B22" s="6" t="str">
        <f t="shared" si="13"/>
        <v>Saturday</v>
      </c>
      <c r="C22" s="59"/>
      <c r="D22" s="92" t="s">
        <v>48</v>
      </c>
      <c r="E22" s="8" t="s">
        <v>24</v>
      </c>
      <c r="F22" s="6" t="s">
        <v>110</v>
      </c>
      <c r="G22" s="140"/>
      <c r="H22" s="9">
        <f t="shared" si="0"/>
        <v>12.057117360705016</v>
      </c>
      <c r="I22" s="9">
        <f t="shared" si="1"/>
        <v>6.16081387071242</v>
      </c>
      <c r="J22" s="9">
        <f t="shared" si="2"/>
        <v>0.2645103807198232</v>
      </c>
      <c r="K22" s="9">
        <f t="shared" si="3"/>
        <v>0.4108138707124196</v>
      </c>
      <c r="L22" s="9">
        <f t="shared" si="4"/>
        <v>0.5571173607050159</v>
      </c>
      <c r="M22" s="9">
        <f t="shared" si="5"/>
        <v>0.7034208506976123</v>
      </c>
      <c r="N22" s="9">
        <f t="shared" si="6"/>
        <v>0.8497243406902087</v>
      </c>
      <c r="O22" s="9">
        <f t="shared" si="7"/>
        <v>0.9534208506976123</v>
      </c>
      <c r="P22" s="9">
        <f>sunrise(Location!$B$4,Location!$B$5,Location!$B$6,6,A22,Location!$B$7,IF(Location!$B$8="No",0,1))</f>
        <v>0.2645103807198232</v>
      </c>
      <c r="Q22" s="9">
        <f>sunset(Location!$B$4,Location!$B$5,Location!$B$6,6,A22,Location!$B$7,IF(Location!$B$8="No",0,1))</f>
        <v>0.8497243406902087</v>
      </c>
      <c r="R22" s="9">
        <f t="shared" si="8"/>
        <v>0.5852139599703856</v>
      </c>
      <c r="S22" s="10">
        <f t="shared" si="9"/>
        <v>0.04876782999753213</v>
      </c>
      <c r="T22" s="9">
        <f t="shared" si="10"/>
        <v>23.414786040029615</v>
      </c>
      <c r="U22" s="10">
        <f t="shared" si="11"/>
        <v>0.0345655033358012</v>
      </c>
    </row>
    <row r="23" spans="1:21" ht="12.75">
      <c r="A23" s="5">
        <v>21</v>
      </c>
      <c r="B23" s="6" t="str">
        <f t="shared" si="13"/>
        <v>Sunday</v>
      </c>
      <c r="C23" s="59"/>
      <c r="D23" s="92" t="s">
        <v>50</v>
      </c>
      <c r="E23" s="8" t="s">
        <v>26</v>
      </c>
      <c r="F23" s="6" t="s">
        <v>111</v>
      </c>
      <c r="G23" s="138" t="s">
        <v>300</v>
      </c>
      <c r="H23" s="9">
        <f t="shared" si="0"/>
        <v>12.057264328715695</v>
      </c>
      <c r="I23" s="9">
        <f t="shared" si="1"/>
        <v>6.160961079197038</v>
      </c>
      <c r="J23" s="9">
        <f t="shared" si="2"/>
        <v>0.26465782967838075</v>
      </c>
      <c r="K23" s="9">
        <f t="shared" si="3"/>
        <v>0.41096107919703784</v>
      </c>
      <c r="L23" s="9">
        <f t="shared" si="4"/>
        <v>0.5572643287156949</v>
      </c>
      <c r="M23" s="9">
        <f t="shared" si="5"/>
        <v>0.7035675782343519</v>
      </c>
      <c r="N23" s="9">
        <f t="shared" si="6"/>
        <v>0.8498708277530089</v>
      </c>
      <c r="O23" s="9">
        <f t="shared" si="7"/>
        <v>0.9535675782343519</v>
      </c>
      <c r="P23" s="9">
        <f>sunrise(Location!$B$4,Location!$B$5,Location!$B$6,6,A23,Location!$B$7,IF(Location!$B$8="No",0,1))</f>
        <v>0.26465782967838075</v>
      </c>
      <c r="Q23" s="9">
        <f>sunset(Location!$B$4,Location!$B$5,Location!$B$6,6,A23,Location!$B$7,IF(Location!$B$8="No",0,1))</f>
        <v>0.8498708277530089</v>
      </c>
      <c r="R23" s="9">
        <f t="shared" si="8"/>
        <v>0.5852129980746281</v>
      </c>
      <c r="S23" s="10">
        <f t="shared" si="9"/>
        <v>0.04876774983955234</v>
      </c>
      <c r="T23" s="9">
        <f t="shared" si="10"/>
        <v>23.414787001925372</v>
      </c>
      <c r="U23" s="10">
        <f t="shared" si="11"/>
        <v>0.034565583493780985</v>
      </c>
    </row>
    <row r="24" spans="1:21" ht="12.75">
      <c r="A24" s="5">
        <v>22</v>
      </c>
      <c r="B24" s="6" t="str">
        <f aca="true" t="shared" si="14" ref="B24:B32">B3</f>
        <v>Monday</v>
      </c>
      <c r="C24" s="59"/>
      <c r="D24" s="7"/>
      <c r="E24" s="8" t="s">
        <v>29</v>
      </c>
      <c r="F24" s="6" t="s">
        <v>112</v>
      </c>
      <c r="G24" s="46" t="s">
        <v>137</v>
      </c>
      <c r="H24" s="9">
        <f t="shared" si="0"/>
        <v>12.057410795769322</v>
      </c>
      <c r="I24" s="9">
        <f t="shared" si="1"/>
        <v>6.161114594935135</v>
      </c>
      <c r="J24" s="9">
        <f t="shared" si="2"/>
        <v>0.2648183941009486</v>
      </c>
      <c r="K24" s="9">
        <f t="shared" si="3"/>
        <v>0.41111459493513525</v>
      </c>
      <c r="L24" s="9">
        <f t="shared" si="4"/>
        <v>0.557410795769322</v>
      </c>
      <c r="M24" s="9">
        <f t="shared" si="5"/>
        <v>0.7037069966035085</v>
      </c>
      <c r="N24" s="9">
        <f t="shared" si="6"/>
        <v>0.8500031974376953</v>
      </c>
      <c r="O24" s="9">
        <f t="shared" si="7"/>
        <v>0.9537069966035085</v>
      </c>
      <c r="P24" s="9">
        <f>sunrise(Location!$B$4,Location!$B$5,Location!$B$6,6,A24,Location!$B$7,IF(Location!$B$8="No",0,1))</f>
        <v>0.2648183941009486</v>
      </c>
      <c r="Q24" s="9">
        <f>sunset(Location!$B$4,Location!$B$5,Location!$B$6,6,A24,Location!$B$7,IF(Location!$B$8="No",0,1))</f>
        <v>0.8500031974376953</v>
      </c>
      <c r="R24" s="9">
        <f t="shared" si="8"/>
        <v>0.5851848033367466</v>
      </c>
      <c r="S24" s="10">
        <f t="shared" si="9"/>
        <v>0.04876540027806222</v>
      </c>
      <c r="T24" s="9">
        <f t="shared" si="10"/>
        <v>23.414815196663252</v>
      </c>
      <c r="U24" s="10">
        <f t="shared" si="11"/>
        <v>0.03456793305527111</v>
      </c>
    </row>
    <row r="25" spans="1:21" ht="12.75">
      <c r="A25" s="5">
        <v>23</v>
      </c>
      <c r="B25" s="6" t="str">
        <f t="shared" si="14"/>
        <v>Tuesday</v>
      </c>
      <c r="C25" s="59"/>
      <c r="D25" s="92" t="s">
        <v>53</v>
      </c>
      <c r="E25" s="8" t="s">
        <v>32</v>
      </c>
      <c r="F25" s="6" t="s">
        <v>113</v>
      </c>
      <c r="G25" s="136" t="s">
        <v>138</v>
      </c>
      <c r="H25" s="9">
        <f t="shared" si="0"/>
        <v>12.057556492651884</v>
      </c>
      <c r="I25" s="9">
        <f t="shared" si="1"/>
        <v>6.16127414049406</v>
      </c>
      <c r="J25" s="9">
        <f t="shared" si="2"/>
        <v>0.26499178833623505</v>
      </c>
      <c r="K25" s="9">
        <f t="shared" si="3"/>
        <v>0.41127414049405936</v>
      </c>
      <c r="L25" s="9">
        <f t="shared" si="4"/>
        <v>0.5575564926518837</v>
      </c>
      <c r="M25" s="9">
        <f t="shared" si="5"/>
        <v>0.703838844809708</v>
      </c>
      <c r="N25" s="9">
        <f t="shared" si="6"/>
        <v>0.8501211969675324</v>
      </c>
      <c r="O25" s="9">
        <f t="shared" si="7"/>
        <v>0.953838844809708</v>
      </c>
      <c r="P25" s="9">
        <f>sunrise(Location!$B$4,Location!$B$5,Location!$B$6,6,A25,Location!$B$7,IF(Location!$B$8="No",0,1))</f>
        <v>0.26499178833623505</v>
      </c>
      <c r="Q25" s="9">
        <f>sunset(Location!$B$4,Location!$B$5,Location!$B$6,6,A25,Location!$B$7,IF(Location!$B$8="No",0,1))</f>
        <v>0.8501211969675324</v>
      </c>
      <c r="R25" s="9">
        <f t="shared" si="8"/>
        <v>0.5851294086312974</v>
      </c>
      <c r="S25" s="10">
        <f t="shared" si="9"/>
        <v>0.048760784052608114</v>
      </c>
      <c r="T25" s="9">
        <f t="shared" si="10"/>
        <v>23.414870591368704</v>
      </c>
      <c r="U25" s="10">
        <f t="shared" si="11"/>
        <v>0.034572549280725215</v>
      </c>
    </row>
    <row r="26" spans="1:21" ht="12.75">
      <c r="A26" s="5">
        <v>24</v>
      </c>
      <c r="B26" s="6" t="str">
        <f t="shared" si="14"/>
        <v>Wednesday</v>
      </c>
      <c r="C26" s="59"/>
      <c r="D26" s="92" t="s">
        <v>55</v>
      </c>
      <c r="E26" s="8" t="s">
        <v>36</v>
      </c>
      <c r="F26" s="6" t="s">
        <v>114</v>
      </c>
      <c r="G26" s="48" t="s">
        <v>139</v>
      </c>
      <c r="H26" s="9">
        <f t="shared" si="0"/>
        <v>12.057701151083094</v>
      </c>
      <c r="I26" s="9">
        <f t="shared" si="1"/>
        <v>6.161439433975103</v>
      </c>
      <c r="J26" s="9">
        <f t="shared" si="2"/>
        <v>0.2651777168671114</v>
      </c>
      <c r="K26" s="9">
        <f t="shared" si="3"/>
        <v>0.4114394339751031</v>
      </c>
      <c r="L26" s="9">
        <f t="shared" si="4"/>
        <v>0.5577011510830947</v>
      </c>
      <c r="M26" s="9">
        <f t="shared" si="5"/>
        <v>0.7039628681910863</v>
      </c>
      <c r="N26" s="9">
        <f t="shared" si="6"/>
        <v>0.850224585299078</v>
      </c>
      <c r="O26" s="9">
        <f t="shared" si="7"/>
        <v>0.9539628681910863</v>
      </c>
      <c r="P26" s="9">
        <f>sunrise(Location!$B$4,Location!$B$5,Location!$B$6,6,A26,Location!$B$7,IF(Location!$B$8="No",0,1))</f>
        <v>0.2651777168671114</v>
      </c>
      <c r="Q26" s="9">
        <f>sunset(Location!$B$4,Location!$B$5,Location!$B$6,6,A26,Location!$B$7,IF(Location!$B$8="No",0,1))</f>
        <v>0.850224585299078</v>
      </c>
      <c r="R26" s="9">
        <f t="shared" si="8"/>
        <v>0.5850468684319665</v>
      </c>
      <c r="S26" s="10">
        <f t="shared" si="9"/>
        <v>0.04875390570266388</v>
      </c>
      <c r="T26" s="9">
        <f t="shared" si="10"/>
        <v>23.414953131568033</v>
      </c>
      <c r="U26" s="10">
        <f t="shared" si="11"/>
        <v>0.03457942763066945</v>
      </c>
    </row>
    <row r="27" spans="1:21" ht="12.75">
      <c r="A27" s="5">
        <v>25</v>
      </c>
      <c r="B27" s="6" t="str">
        <f t="shared" si="14"/>
        <v>Thursday</v>
      </c>
      <c r="C27" s="59"/>
      <c r="D27" s="7"/>
      <c r="E27" s="8" t="s">
        <v>17</v>
      </c>
      <c r="F27" s="6" t="s">
        <v>116</v>
      </c>
      <c r="G27" s="136"/>
      <c r="H27" s="9">
        <f t="shared" si="0"/>
        <v>12.057844504174387</v>
      </c>
      <c r="I27" s="9">
        <f t="shared" si="1"/>
        <v>6.161610189510893</v>
      </c>
      <c r="J27" s="9">
        <f t="shared" si="2"/>
        <v>0.26537587484739844</v>
      </c>
      <c r="K27" s="9">
        <f t="shared" si="3"/>
        <v>0.4116101895108931</v>
      </c>
      <c r="L27" s="9">
        <f t="shared" si="4"/>
        <v>0.5578445041743878</v>
      </c>
      <c r="M27" s="9">
        <f t="shared" si="5"/>
        <v>0.7040788188378825</v>
      </c>
      <c r="N27" s="9">
        <f t="shared" si="6"/>
        <v>0.8503131335013772</v>
      </c>
      <c r="O27" s="9">
        <f t="shared" si="7"/>
        <v>0.9540788188378825</v>
      </c>
      <c r="P27" s="9">
        <f>sunrise(Location!$B$4,Location!$B$5,Location!$B$6,6,A27,Location!$B$7,IF(Location!$B$8="No",0,1))</f>
        <v>0.26537587484739844</v>
      </c>
      <c r="Q27" s="9">
        <f>sunset(Location!$B$4,Location!$B$5,Location!$B$6,6,A27,Location!$B$7,IF(Location!$B$8="No",0,1))</f>
        <v>0.8503131335013772</v>
      </c>
      <c r="R27" s="9">
        <f t="shared" si="8"/>
        <v>0.5849372586539787</v>
      </c>
      <c r="S27" s="10">
        <f t="shared" si="9"/>
        <v>0.048744771554498224</v>
      </c>
      <c r="T27" s="9">
        <f t="shared" si="10"/>
        <v>23.41506274134602</v>
      </c>
      <c r="U27" s="10">
        <f t="shared" si="11"/>
        <v>0.034588561778835104</v>
      </c>
    </row>
    <row r="28" spans="1:21" ht="12.75">
      <c r="A28" s="5">
        <v>26</v>
      </c>
      <c r="B28" s="6" t="str">
        <f t="shared" si="14"/>
        <v>Friday</v>
      </c>
      <c r="C28" s="59"/>
      <c r="D28" s="92" t="s">
        <v>59</v>
      </c>
      <c r="E28" s="8" t="s">
        <v>21</v>
      </c>
      <c r="F28" s="6" t="s">
        <v>117</v>
      </c>
      <c r="G28" s="136"/>
      <c r="H28" s="9">
        <f t="shared" si="0"/>
        <v>12.057986286883265</v>
      </c>
      <c r="I28" s="9">
        <f t="shared" si="1"/>
        <v>6.161786117774332</v>
      </c>
      <c r="J28" s="9">
        <f t="shared" si="2"/>
        <v>0.26558594866539925</v>
      </c>
      <c r="K28" s="9">
        <f t="shared" si="3"/>
        <v>0.41178611777433205</v>
      </c>
      <c r="L28" s="9">
        <f t="shared" si="4"/>
        <v>0.5579862868832648</v>
      </c>
      <c r="M28" s="9">
        <f t="shared" si="5"/>
        <v>0.7041864559921975</v>
      </c>
      <c r="N28" s="9">
        <f t="shared" si="6"/>
        <v>0.8503866251011302</v>
      </c>
      <c r="O28" s="9">
        <f t="shared" si="7"/>
        <v>0.9541864559921974</v>
      </c>
      <c r="P28" s="9">
        <f>sunrise(Location!$B$4,Location!$B$5,Location!$B$6,6,A28,Location!$B$7,IF(Location!$B$8="No",0,1))</f>
        <v>0.26558594866539925</v>
      </c>
      <c r="Q28" s="9">
        <f>sunset(Location!$B$4,Location!$B$5,Location!$B$6,6,A28,Location!$B$7,IF(Location!$B$8="No",0,1))</f>
        <v>0.8503866251011302</v>
      </c>
      <c r="R28" s="9">
        <f t="shared" si="8"/>
        <v>0.584800676435731</v>
      </c>
      <c r="S28" s="10">
        <f t="shared" si="9"/>
        <v>0.04873338970297758</v>
      </c>
      <c r="T28" s="9">
        <f t="shared" si="10"/>
        <v>23.41519932356427</v>
      </c>
      <c r="U28" s="10">
        <f t="shared" si="11"/>
        <v>0.03459994363035575</v>
      </c>
    </row>
    <row r="29" spans="1:21" ht="12.75">
      <c r="A29" s="5">
        <v>27</v>
      </c>
      <c r="B29" s="6" t="str">
        <f t="shared" si="14"/>
        <v>Saturday</v>
      </c>
      <c r="C29" s="59"/>
      <c r="D29" s="92" t="s">
        <v>61</v>
      </c>
      <c r="E29" s="8" t="s">
        <v>24</v>
      </c>
      <c r="F29" s="6" t="s">
        <v>118</v>
      </c>
      <c r="G29" s="140"/>
      <c r="H29" s="9">
        <f t="shared" si="0"/>
        <v>12.058126236462822</v>
      </c>
      <c r="I29" s="9">
        <f t="shared" si="1"/>
        <v>6.161966926497399</v>
      </c>
      <c r="J29" s="9">
        <f t="shared" si="2"/>
        <v>0.265807616531977</v>
      </c>
      <c r="K29" s="9">
        <f t="shared" si="3"/>
        <v>0.41196692649739985</v>
      </c>
      <c r="L29" s="9">
        <f t="shared" si="4"/>
        <v>0.5581262364628228</v>
      </c>
      <c r="M29" s="9">
        <f t="shared" si="5"/>
        <v>0.7042855464282456</v>
      </c>
      <c r="N29" s="9">
        <f t="shared" si="6"/>
        <v>0.8504448563936685</v>
      </c>
      <c r="O29" s="9">
        <f t="shared" si="7"/>
        <v>0.9542855464282456</v>
      </c>
      <c r="P29" s="9">
        <f>sunrise(Location!$B$4,Location!$B$5,Location!$B$6,6,A29,Location!$B$7,IF(Location!$B$8="No",0,1))</f>
        <v>0.265807616531977</v>
      </c>
      <c r="Q29" s="9">
        <f>sunset(Location!$B$4,Location!$B$5,Location!$B$6,6,A29,Location!$B$7,IF(Location!$B$8="No",0,1))</f>
        <v>0.8504448563936685</v>
      </c>
      <c r="R29" s="9">
        <f t="shared" si="8"/>
        <v>0.5846372398616915</v>
      </c>
      <c r="S29" s="10">
        <f t="shared" si="9"/>
        <v>0.04871976998847429</v>
      </c>
      <c r="T29" s="9">
        <f t="shared" si="10"/>
        <v>23.415362760138308</v>
      </c>
      <c r="U29" s="10">
        <f t="shared" si="11"/>
        <v>0.03461356334485904</v>
      </c>
    </row>
    <row r="30" spans="1:21" ht="12.75">
      <c r="A30" s="5">
        <v>28</v>
      </c>
      <c r="B30" s="6" t="str">
        <f t="shared" si="14"/>
        <v>Sunday</v>
      </c>
      <c r="C30" s="59"/>
      <c r="D30" s="7"/>
      <c r="E30" s="8" t="s">
        <v>26</v>
      </c>
      <c r="F30" s="6" t="s">
        <v>119</v>
      </c>
      <c r="G30" s="138" t="s">
        <v>301</v>
      </c>
      <c r="H30" s="9">
        <f t="shared" si="0"/>
        <v>12.058264092906134</v>
      </c>
      <c r="I30" s="9">
        <f t="shared" si="1"/>
        <v>6.162152320999423</v>
      </c>
      <c r="J30" s="9">
        <f t="shared" si="2"/>
        <v>0.266040549092712</v>
      </c>
      <c r="K30" s="9">
        <f t="shared" si="3"/>
        <v>0.4121523209994232</v>
      </c>
      <c r="L30" s="9">
        <f t="shared" si="4"/>
        <v>0.5582640929061344</v>
      </c>
      <c r="M30" s="9">
        <f t="shared" si="5"/>
        <v>0.7043758648128456</v>
      </c>
      <c r="N30" s="9">
        <f t="shared" si="6"/>
        <v>0.8504876367195568</v>
      </c>
      <c r="O30" s="9">
        <f t="shared" si="7"/>
        <v>0.9543758648128456</v>
      </c>
      <c r="P30" s="9">
        <f>sunrise(Location!$B$4,Location!$B$5,Location!$B$6,6,A30,Location!$B$7,IF(Location!$B$8="No",0,1))</f>
        <v>0.266040549092712</v>
      </c>
      <c r="Q30" s="9">
        <f>sunset(Location!$B$4,Location!$B$5,Location!$B$6,6,A30,Location!$B$7,IF(Location!$B$8="No",0,1))</f>
        <v>0.8504876367195568</v>
      </c>
      <c r="R30" s="9">
        <f t="shared" si="8"/>
        <v>0.5844470876268448</v>
      </c>
      <c r="S30" s="10">
        <f t="shared" si="9"/>
        <v>0.04870392396890374</v>
      </c>
      <c r="T30" s="9">
        <f t="shared" si="10"/>
        <v>23.415552912373155</v>
      </c>
      <c r="U30" s="10">
        <f t="shared" si="11"/>
        <v>0.03462940936442959</v>
      </c>
    </row>
    <row r="31" spans="1:21" ht="12.75">
      <c r="A31" s="5">
        <v>29</v>
      </c>
      <c r="B31" s="6" t="str">
        <f t="shared" si="14"/>
        <v>Monday</v>
      </c>
      <c r="C31" s="59"/>
      <c r="D31" s="7"/>
      <c r="E31" s="8" t="s">
        <v>29</v>
      </c>
      <c r="F31" s="6" t="s">
        <v>120</v>
      </c>
      <c r="G31" s="47" t="s">
        <v>221</v>
      </c>
      <c r="H31" s="9">
        <f t="shared" si="0"/>
        <v>12.058399599383298</v>
      </c>
      <c r="I31" s="9">
        <f t="shared" si="1"/>
        <v>6.162342004721697</v>
      </c>
      <c r="J31" s="9">
        <f t="shared" si="2"/>
        <v>0.26628441006009457</v>
      </c>
      <c r="K31" s="9">
        <f t="shared" si="3"/>
        <v>0.41234200472169635</v>
      </c>
      <c r="L31" s="9">
        <f t="shared" si="4"/>
        <v>0.5583995993832982</v>
      </c>
      <c r="M31" s="9">
        <f t="shared" si="5"/>
        <v>0.7044571940448999</v>
      </c>
      <c r="N31" s="9">
        <f t="shared" si="6"/>
        <v>0.8505147887065017</v>
      </c>
      <c r="O31" s="9">
        <f t="shared" si="7"/>
        <v>0.9544571940448998</v>
      </c>
      <c r="P31" s="9">
        <f>sunrise(Location!$B$4,Location!$B$5,Location!$B$6,6,A31,Location!$B$7,IF(Location!$B$8="No",0,1))</f>
        <v>0.26628441006009457</v>
      </c>
      <c r="Q31" s="9">
        <f>sunset(Location!$B$4,Location!$B$5,Location!$B$6,6,A31,Location!$B$7,IF(Location!$B$8="No",0,1))</f>
        <v>0.8505147887065017</v>
      </c>
      <c r="R31" s="9">
        <f t="shared" si="8"/>
        <v>0.5842303786464071</v>
      </c>
      <c r="S31" s="10">
        <f t="shared" si="9"/>
        <v>0.04868586488720059</v>
      </c>
      <c r="T31" s="9">
        <f t="shared" si="10"/>
        <v>23.415769621353594</v>
      </c>
      <c r="U31" s="10">
        <f t="shared" si="11"/>
        <v>0.034647468446132736</v>
      </c>
    </row>
    <row r="32" spans="1:21" ht="12.75">
      <c r="A32" s="5">
        <v>30</v>
      </c>
      <c r="B32" s="6" t="str">
        <f t="shared" si="14"/>
        <v>Tuesday</v>
      </c>
      <c r="C32" s="59"/>
      <c r="D32" s="92" t="s">
        <v>64</v>
      </c>
      <c r="E32" s="8" t="s">
        <v>32</v>
      </c>
      <c r="F32" s="6" t="s">
        <v>78</v>
      </c>
      <c r="G32" s="136"/>
      <c r="H32" s="9">
        <f t="shared" si="0"/>
        <v>12.058532502670747</v>
      </c>
      <c r="I32" s="9">
        <f t="shared" si="1"/>
        <v>6.162535679767992</v>
      </c>
      <c r="J32" s="9">
        <f t="shared" si="2"/>
        <v>0.2665388568652371</v>
      </c>
      <c r="K32" s="9">
        <f t="shared" si="3"/>
        <v>0.41253567976799266</v>
      </c>
      <c r="L32" s="9">
        <f t="shared" si="4"/>
        <v>0.5585325026707482</v>
      </c>
      <c r="M32" s="9">
        <f t="shared" si="5"/>
        <v>0.7045293255735037</v>
      </c>
      <c r="N32" s="9">
        <f t="shared" si="6"/>
        <v>0.8505261484762593</v>
      </c>
      <c r="O32" s="9">
        <f t="shared" si="7"/>
        <v>0.9545293255735037</v>
      </c>
      <c r="P32" s="9">
        <f>sunrise(Location!$B$4,Location!$B$5,Location!$B$6,6,A32,Location!$B$7,IF(Location!$B$8="No",0,1))</f>
        <v>0.2665388568652371</v>
      </c>
      <c r="Q32" s="9">
        <f>sunset(Location!$B$4,Location!$B$5,Location!$B$6,6,A32,Location!$B$7,IF(Location!$B$8="No",0,1))</f>
        <v>0.8505261484762593</v>
      </c>
      <c r="R32" s="9">
        <f t="shared" si="8"/>
        <v>0.5839872916110223</v>
      </c>
      <c r="S32" s="10">
        <f t="shared" si="9"/>
        <v>0.04866560763425185</v>
      </c>
      <c r="T32" s="9">
        <f t="shared" si="10"/>
        <v>23.416012708388976</v>
      </c>
      <c r="U32" s="10">
        <f t="shared" si="11"/>
        <v>0.03466772569908148</v>
      </c>
    </row>
    <row r="33" ht="12.75">
      <c r="B33" s="6"/>
    </row>
    <row r="34" spans="2:5" ht="12.75">
      <c r="B34" s="6"/>
      <c r="E34" s="11"/>
    </row>
    <row r="35" spans="1:5" ht="12.75">
      <c r="A35" s="6"/>
      <c r="E35" s="13"/>
    </row>
    <row r="36" spans="2:5" ht="12.75">
      <c r="B36" s="6"/>
      <c r="E36" s="13"/>
    </row>
    <row r="37" spans="3:5" ht="12.75">
      <c r="C37" s="58" t="str">
        <f>IF(Location!B9="No",Location!C13,Location!C14)</f>
        <v>D</v>
      </c>
      <c r="D37" s="52"/>
      <c r="E37" s="13"/>
    </row>
  </sheetData>
  <sheetProtection/>
  <conditionalFormatting sqref="E3:E32">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V37"/>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22" width="9.140625" style="19" customWidth="1"/>
    <col min="23" max="16384" width="9.140625" style="4" customWidth="1"/>
  </cols>
  <sheetData>
    <row r="1" spans="1:21" ht="23.25">
      <c r="A1" s="117" t="s">
        <v>176</v>
      </c>
      <c r="B1" s="118"/>
      <c r="C1" s="123"/>
      <c r="D1" s="119" t="str">
        <f>ROMAN(Location!$B$6)</f>
        <v>MMIX</v>
      </c>
      <c r="E1" s="118"/>
      <c r="F1" s="118"/>
      <c r="G1" s="118"/>
      <c r="H1" s="120"/>
      <c r="I1" s="120"/>
      <c r="J1" s="120"/>
      <c r="K1" s="120"/>
      <c r="L1" s="120"/>
      <c r="M1" s="120"/>
      <c r="N1" s="120"/>
      <c r="O1" s="120"/>
      <c r="P1" s="121"/>
      <c r="Q1" s="118"/>
      <c r="R1" s="120"/>
      <c r="S1" s="120"/>
      <c r="T1" s="120"/>
      <c r="U1" s="122"/>
    </row>
    <row r="2" spans="1:21" ht="12.75">
      <c r="A2" s="91"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132</v>
      </c>
      <c r="T2" s="27" t="s">
        <v>15</v>
      </c>
      <c r="U2" s="27" t="s">
        <v>133</v>
      </c>
    </row>
    <row r="3" spans="1:21" ht="12.75">
      <c r="A3" s="5">
        <v>1</v>
      </c>
      <c r="B3" s="6" t="str">
        <f>Iunius!B26</f>
        <v>Wednesday</v>
      </c>
      <c r="C3" s="59"/>
      <c r="D3" s="92" t="s">
        <v>67</v>
      </c>
      <c r="E3" s="8" t="s">
        <v>36</v>
      </c>
      <c r="F3" s="6" t="s">
        <v>18</v>
      </c>
      <c r="G3" s="137"/>
      <c r="H3" s="9">
        <f aca="true" t="shared" si="0" ref="H3:H33">(T3/2)+Q3-"12:00:00"</f>
        <v>12.058662553571448</v>
      </c>
      <c r="I3" s="9">
        <f aca="true" t="shared" si="1" ref="I3:I33">H3+((J3-H3)/2)</f>
        <v>6.162733047448548</v>
      </c>
      <c r="J3" s="9">
        <f aca="true" t="shared" si="2" ref="J3:J33">P3</f>
        <v>0.26680354132564943</v>
      </c>
      <c r="K3" s="9">
        <f aca="true" t="shared" si="3" ref="K3:K33">J3+((L3-J3)/2)</f>
        <v>0.4127330474485486</v>
      </c>
      <c r="L3" s="9">
        <f aca="true" t="shared" si="4" ref="L3:L33">(R3/2)+J3</f>
        <v>0.5586625535714478</v>
      </c>
      <c r="M3" s="9">
        <f aca="true" t="shared" si="5" ref="M3:M33">((N3-L3)/2)+L3</f>
        <v>0.7045920596943469</v>
      </c>
      <c r="N3" s="9">
        <f aca="true" t="shared" si="6" ref="N3:N33">Q3</f>
        <v>0.850521565817246</v>
      </c>
      <c r="O3" s="9">
        <f aca="true" t="shared" si="7" ref="O3:O33">3*U3+N3</f>
        <v>0.9545920596943469</v>
      </c>
      <c r="P3" s="9">
        <f>sunrise(Location!$B$4,Location!$B$5,Location!$B$6,7,A3,Location!$B$7,IF(Location!$B$8="No",0,1))</f>
        <v>0.26680354132564943</v>
      </c>
      <c r="Q3" s="9">
        <f>sunset(Location!$B$4,Location!$B$5,Location!$B$6,7,A3,Location!$B$7,IF(Location!$B$8="No",0,1))</f>
        <v>0.850521565817246</v>
      </c>
      <c r="R3" s="9">
        <f aca="true" t="shared" si="8" ref="R3:R33">Q3-P3</f>
        <v>0.5837180244915966</v>
      </c>
      <c r="S3" s="10">
        <f aca="true" t="shared" si="9" ref="S3:S33">R3/12</f>
        <v>0.04864316870763305</v>
      </c>
      <c r="T3" s="9">
        <f aca="true" t="shared" si="10" ref="T3:T33">(24-(Q3-P3))</f>
        <v>23.416281975508404</v>
      </c>
      <c r="U3" s="10">
        <f aca="true" t="shared" si="11" ref="U3:U33">"1:00:00"-S3+"1:00:00"</f>
        <v>0.03469016462570028</v>
      </c>
    </row>
    <row r="4" spans="1:21" ht="12.75">
      <c r="A4" s="5">
        <v>2</v>
      </c>
      <c r="B4" s="6" t="str">
        <f>Iunius!B27</f>
        <v>Thursday</v>
      </c>
      <c r="C4" s="59"/>
      <c r="D4" s="92" t="s">
        <v>69</v>
      </c>
      <c r="E4" s="8" t="s">
        <v>17</v>
      </c>
      <c r="F4" s="6" t="s">
        <v>90</v>
      </c>
      <c r="G4" s="136"/>
      <c r="H4" s="9">
        <f t="shared" si="0"/>
        <v>12.058789507324933</v>
      </c>
      <c r="I4" s="9">
        <f t="shared" si="1"/>
        <v>6.162933808826054</v>
      </c>
      <c r="J4" s="9">
        <f t="shared" si="2"/>
        <v>0.2670781103271744</v>
      </c>
      <c r="K4" s="9">
        <f t="shared" si="3"/>
        <v>0.4129338088260538</v>
      </c>
      <c r="L4" s="9">
        <f t="shared" si="4"/>
        <v>0.5587895073249332</v>
      </c>
      <c r="M4" s="9">
        <f t="shared" si="5"/>
        <v>0.7046452058238125</v>
      </c>
      <c r="N4" s="9">
        <f t="shared" si="6"/>
        <v>0.8505009043226919</v>
      </c>
      <c r="O4" s="9">
        <f t="shared" si="7"/>
        <v>0.9546452058238125</v>
      </c>
      <c r="P4" s="9">
        <f>sunrise(Location!$B$4,Location!$B$5,Location!$B$6,7,A4,Location!$B$7,IF(Location!$B$8="No",0,1))</f>
        <v>0.2670781103271744</v>
      </c>
      <c r="Q4" s="9">
        <f>sunset(Location!$B$4,Location!$B$5,Location!$B$6,7,A4,Location!$B$7,IF(Location!$B$8="No",0,1))</f>
        <v>0.8505009043226919</v>
      </c>
      <c r="R4" s="9">
        <f t="shared" si="8"/>
        <v>0.5834227939955174</v>
      </c>
      <c r="S4" s="10">
        <f t="shared" si="9"/>
        <v>0.04861856616629312</v>
      </c>
      <c r="T4" s="9">
        <f t="shared" si="10"/>
        <v>23.416577206004483</v>
      </c>
      <c r="U4" s="10">
        <f t="shared" si="11"/>
        <v>0.03471476716704021</v>
      </c>
    </row>
    <row r="5" spans="1:21" ht="12.75">
      <c r="A5" s="5">
        <v>3</v>
      </c>
      <c r="B5" s="6" t="str">
        <f>Iunius!B28</f>
        <v>Friday</v>
      </c>
      <c r="C5" s="59"/>
      <c r="D5" s="7"/>
      <c r="E5" s="8" t="s">
        <v>21</v>
      </c>
      <c r="F5" s="6" t="s">
        <v>92</v>
      </c>
      <c r="G5" s="136"/>
      <c r="H5" s="9">
        <f t="shared" si="0"/>
        <v>12.0589131240064</v>
      </c>
      <c r="I5" s="9">
        <f t="shared" si="1"/>
        <v>6.163137665262077</v>
      </c>
      <c r="J5" s="9">
        <f t="shared" si="2"/>
        <v>0.26736220651775455</v>
      </c>
      <c r="K5" s="9">
        <f t="shared" si="3"/>
        <v>0.413137665262077</v>
      </c>
      <c r="L5" s="9">
        <f t="shared" si="4"/>
        <v>0.5589131240063995</v>
      </c>
      <c r="M5" s="9">
        <f t="shared" si="5"/>
        <v>0.7046885827507219</v>
      </c>
      <c r="N5" s="9">
        <f t="shared" si="6"/>
        <v>0.8504640414950444</v>
      </c>
      <c r="O5" s="9">
        <f t="shared" si="7"/>
        <v>0.9546885827507219</v>
      </c>
      <c r="P5" s="9">
        <f>sunrise(Location!$B$4,Location!$B$5,Location!$B$6,7,A5,Location!$B$7,IF(Location!$B$8="No",0,1))</f>
        <v>0.26736220651775455</v>
      </c>
      <c r="Q5" s="9">
        <f>sunset(Location!$B$4,Location!$B$5,Location!$B$6,7,A5,Location!$B$7,IF(Location!$B$8="No",0,1))</f>
        <v>0.8504640414950444</v>
      </c>
      <c r="R5" s="9">
        <f t="shared" si="8"/>
        <v>0.5831018349772898</v>
      </c>
      <c r="S5" s="10">
        <f t="shared" si="9"/>
        <v>0.04859181958144082</v>
      </c>
      <c r="T5" s="9">
        <f t="shared" si="10"/>
        <v>23.41689816502271</v>
      </c>
      <c r="U5" s="10">
        <f t="shared" si="11"/>
        <v>0.03474151375189251</v>
      </c>
    </row>
    <row r="6" spans="1:21" ht="12.75">
      <c r="A6" s="5">
        <v>4</v>
      </c>
      <c r="B6" s="6" t="str">
        <f>Iunius!B29</f>
        <v>Saturday</v>
      </c>
      <c r="C6" s="59"/>
      <c r="D6" s="92" t="s">
        <v>72</v>
      </c>
      <c r="E6" s="8" t="s">
        <v>24</v>
      </c>
      <c r="F6" s="6" t="s">
        <v>93</v>
      </c>
      <c r="G6" s="140"/>
      <c r="H6" s="9">
        <f t="shared" si="0"/>
        <v>12.059033168913608</v>
      </c>
      <c r="I6" s="9">
        <f t="shared" si="1"/>
        <v>6.163344318961796</v>
      </c>
      <c r="J6" s="9">
        <f t="shared" si="2"/>
        <v>0.2676554690099842</v>
      </c>
      <c r="K6" s="9">
        <f t="shared" si="3"/>
        <v>0.4133443189617966</v>
      </c>
      <c r="L6" s="9">
        <f t="shared" si="4"/>
        <v>0.559033168913609</v>
      </c>
      <c r="M6" s="9">
        <f t="shared" si="5"/>
        <v>0.7047220188654215</v>
      </c>
      <c r="N6" s="9">
        <f t="shared" si="6"/>
        <v>0.8504108688172339</v>
      </c>
      <c r="O6" s="9">
        <f t="shared" si="7"/>
        <v>0.9547220188654215</v>
      </c>
      <c r="P6" s="9">
        <f>sunrise(Location!$B$4,Location!$B$5,Location!$B$6,7,A6,Location!$B$7,IF(Location!$B$8="No",0,1))</f>
        <v>0.2676554690099842</v>
      </c>
      <c r="Q6" s="9">
        <f>sunset(Location!$B$4,Location!$B$5,Location!$B$6,7,A6,Location!$B$7,IF(Location!$B$8="No",0,1))</f>
        <v>0.8504108688172339</v>
      </c>
      <c r="R6" s="9">
        <f t="shared" si="8"/>
        <v>0.5827553998072497</v>
      </c>
      <c r="S6" s="10">
        <f t="shared" si="9"/>
        <v>0.048562949983937474</v>
      </c>
      <c r="T6" s="9">
        <f t="shared" si="10"/>
        <v>23.41724460019275</v>
      </c>
      <c r="U6" s="10">
        <f t="shared" si="11"/>
        <v>0.034770383349395854</v>
      </c>
    </row>
    <row r="7" spans="1:21" ht="12.75">
      <c r="A7" s="5">
        <v>5</v>
      </c>
      <c r="B7" s="6" t="str">
        <f>Iunius!B30</f>
        <v>Sunday</v>
      </c>
      <c r="C7" s="59"/>
      <c r="D7" s="92" t="s">
        <v>75</v>
      </c>
      <c r="E7" s="8" t="s">
        <v>26</v>
      </c>
      <c r="F7" s="6" t="s">
        <v>94</v>
      </c>
      <c r="G7" s="138" t="s">
        <v>302</v>
      </c>
      <c r="H7" s="9">
        <f t="shared" si="0"/>
        <v>12.059149412940616</v>
      </c>
      <c r="I7" s="9">
        <f t="shared" si="1"/>
        <v>6.163553473515268</v>
      </c>
      <c r="J7" s="9">
        <f t="shared" si="2"/>
        <v>0.26795753408992073</v>
      </c>
      <c r="K7" s="9">
        <f t="shared" si="3"/>
        <v>0.4135534735152689</v>
      </c>
      <c r="L7" s="9">
        <f t="shared" si="4"/>
        <v>0.559149412940617</v>
      </c>
      <c r="M7" s="9">
        <f t="shared" si="5"/>
        <v>0.7047453523659652</v>
      </c>
      <c r="N7" s="9">
        <f t="shared" si="6"/>
        <v>0.8503412917913133</v>
      </c>
      <c r="O7" s="9">
        <f t="shared" si="7"/>
        <v>0.9547453523659651</v>
      </c>
      <c r="P7" s="9">
        <f>sunrise(Location!$B$4,Location!$B$5,Location!$B$6,7,A7,Location!$B$7,IF(Location!$B$8="No",0,1))</f>
        <v>0.26795753408992073</v>
      </c>
      <c r="Q7" s="9">
        <f>sunset(Location!$B$4,Location!$B$5,Location!$B$6,7,A7,Location!$B$7,IF(Location!$B$8="No",0,1))</f>
        <v>0.8503412917913133</v>
      </c>
      <c r="R7" s="9">
        <f t="shared" si="8"/>
        <v>0.5823837577013926</v>
      </c>
      <c r="S7" s="10">
        <f t="shared" si="9"/>
        <v>0.04853197980844939</v>
      </c>
      <c r="T7" s="9">
        <f t="shared" si="10"/>
        <v>23.417616242298607</v>
      </c>
      <c r="U7" s="10">
        <f t="shared" si="11"/>
        <v>0.03480135352488394</v>
      </c>
    </row>
    <row r="8" spans="1:21" ht="12.75">
      <c r="A8" s="5">
        <v>6</v>
      </c>
      <c r="B8" s="6" t="str">
        <f>Iunius!B31</f>
        <v>Monday</v>
      </c>
      <c r="C8" s="59"/>
      <c r="D8" s="7"/>
      <c r="E8" s="8" t="s">
        <v>29</v>
      </c>
      <c r="F8" s="6" t="s">
        <v>27</v>
      </c>
      <c r="G8" s="136"/>
      <c r="H8" s="9">
        <f t="shared" si="0"/>
        <v>12.05926163293805</v>
      </c>
      <c r="I8" s="9">
        <f t="shared" si="1"/>
        <v>6.1637648344342155</v>
      </c>
      <c r="J8" s="9">
        <f t="shared" si="2"/>
        <v>0.2682680359303815</v>
      </c>
      <c r="K8" s="9">
        <f t="shared" si="3"/>
        <v>0.4137648344342151</v>
      </c>
      <c r="L8" s="9">
        <f t="shared" si="4"/>
        <v>0.5592616329380486</v>
      </c>
      <c r="M8" s="9">
        <f t="shared" si="5"/>
        <v>0.7047584314418822</v>
      </c>
      <c r="N8" s="9">
        <f t="shared" si="6"/>
        <v>0.8502552299457157</v>
      </c>
      <c r="O8" s="9">
        <f t="shared" si="7"/>
        <v>0.9547584314418821</v>
      </c>
      <c r="P8" s="9">
        <f>sunrise(Location!$B$4,Location!$B$5,Location!$B$6,7,A8,Location!$B$7,IF(Location!$B$8="No",0,1))</f>
        <v>0.2682680359303815</v>
      </c>
      <c r="Q8" s="9">
        <f>sunset(Location!$B$4,Location!$B$5,Location!$B$6,7,A8,Location!$B$7,IF(Location!$B$8="No",0,1))</f>
        <v>0.8502552299457157</v>
      </c>
      <c r="R8" s="9">
        <f t="shared" si="8"/>
        <v>0.5819871940153342</v>
      </c>
      <c r="S8" s="10">
        <f t="shared" si="9"/>
        <v>0.04849893283461118</v>
      </c>
      <c r="T8" s="9">
        <f t="shared" si="10"/>
        <v>23.418012805984667</v>
      </c>
      <c r="U8" s="10">
        <f t="shared" si="11"/>
        <v>0.03483440049872215</v>
      </c>
    </row>
    <row r="9" spans="1:21" ht="12.75">
      <c r="A9" s="5">
        <v>7</v>
      </c>
      <c r="B9" s="6" t="str">
        <f>Iunius!B32</f>
        <v>Tuesday</v>
      </c>
      <c r="C9" s="59"/>
      <c r="D9" s="92" t="s">
        <v>20</v>
      </c>
      <c r="E9" s="8" t="s">
        <v>32</v>
      </c>
      <c r="F9" s="6" t="s">
        <v>30</v>
      </c>
      <c r="G9" s="136"/>
      <c r="H9" s="9">
        <f t="shared" si="0"/>
        <v>12.05936961205809</v>
      </c>
      <c r="I9" s="9">
        <f t="shared" si="1"/>
        <v>6.163978109681256</v>
      </c>
      <c r="J9" s="9">
        <f t="shared" si="2"/>
        <v>0.2685866073044235</v>
      </c>
      <c r="K9" s="9">
        <f t="shared" si="3"/>
        <v>0.41397810968125665</v>
      </c>
      <c r="L9" s="9">
        <f t="shared" si="4"/>
        <v>0.5593696120580898</v>
      </c>
      <c r="M9" s="9">
        <f t="shared" si="5"/>
        <v>0.7047611144349228</v>
      </c>
      <c r="N9" s="9">
        <f t="shared" si="6"/>
        <v>0.850152616811756</v>
      </c>
      <c r="O9" s="9">
        <f t="shared" si="7"/>
        <v>0.9547611144349228</v>
      </c>
      <c r="P9" s="9">
        <f>sunrise(Location!$B$4,Location!$B$5,Location!$B$6,7,A9,Location!$B$7,IF(Location!$B$8="No",0,1))</f>
        <v>0.2685866073044235</v>
      </c>
      <c r="Q9" s="9">
        <f>sunset(Location!$B$4,Location!$B$5,Location!$B$6,7,A9,Location!$B$7,IF(Location!$B$8="No",0,1))</f>
        <v>0.850152616811756</v>
      </c>
      <c r="R9" s="9">
        <f t="shared" si="8"/>
        <v>0.5815660095073325</v>
      </c>
      <c r="S9" s="10">
        <f t="shared" si="9"/>
        <v>0.04846383412561104</v>
      </c>
      <c r="T9" s="9">
        <f t="shared" si="10"/>
        <v>23.418433990492666</v>
      </c>
      <c r="U9" s="10">
        <f t="shared" si="11"/>
        <v>0.03486949920772229</v>
      </c>
    </row>
    <row r="10" spans="1:21" ht="12.75">
      <c r="A10" s="5">
        <v>8</v>
      </c>
      <c r="B10" s="6" t="str">
        <f aca="true" t="shared" si="12" ref="B10:B16">B3</f>
        <v>Wednesday</v>
      </c>
      <c r="C10" s="59"/>
      <c r="D10" s="7"/>
      <c r="E10" s="8" t="s">
        <v>36</v>
      </c>
      <c r="F10" s="6" t="s">
        <v>95</v>
      </c>
      <c r="G10" s="136"/>
      <c r="H10" s="9">
        <f t="shared" si="0"/>
        <v>12.05947314008421</v>
      </c>
      <c r="I10" s="9">
        <f t="shared" si="1"/>
        <v>6.1641930101910445</v>
      </c>
      <c r="J10" s="9">
        <f t="shared" si="2"/>
        <v>0.2689128802978789</v>
      </c>
      <c r="K10" s="9">
        <f t="shared" si="3"/>
        <v>0.4141930101910447</v>
      </c>
      <c r="L10" s="9">
        <f t="shared" si="4"/>
        <v>0.5594731400842106</v>
      </c>
      <c r="M10" s="9">
        <f t="shared" si="5"/>
        <v>0.7047532699773764</v>
      </c>
      <c r="N10" s="9">
        <f t="shared" si="6"/>
        <v>0.8500333998705424</v>
      </c>
      <c r="O10" s="9">
        <f t="shared" si="7"/>
        <v>0.9547532699773765</v>
      </c>
      <c r="P10" s="9">
        <f>sunrise(Location!$B$4,Location!$B$5,Location!$B$6,7,A10,Location!$B$7,IF(Location!$B$8="No",0,1))</f>
        <v>0.2689128802978789</v>
      </c>
      <c r="Q10" s="9">
        <f>sunset(Location!$B$4,Location!$B$5,Location!$B$6,7,A10,Location!$B$7,IF(Location!$B$8="No",0,1))</f>
        <v>0.8500333998705424</v>
      </c>
      <c r="R10" s="9">
        <f t="shared" si="8"/>
        <v>0.5811205195726634</v>
      </c>
      <c r="S10" s="10">
        <f t="shared" si="9"/>
        <v>0.048426709964388616</v>
      </c>
      <c r="T10" s="9">
        <f t="shared" si="10"/>
        <v>23.418879480427336</v>
      </c>
      <c r="U10" s="10">
        <f t="shared" si="11"/>
        <v>0.03490662336894471</v>
      </c>
    </row>
    <row r="11" spans="1:21" ht="12.75">
      <c r="A11" s="5">
        <v>9</v>
      </c>
      <c r="B11" s="6" t="str">
        <f t="shared" si="12"/>
        <v>Thursday</v>
      </c>
      <c r="C11" s="59"/>
      <c r="D11" s="92" t="s">
        <v>23</v>
      </c>
      <c r="E11" s="8" t="s">
        <v>17</v>
      </c>
      <c r="F11" s="6" t="s">
        <v>96</v>
      </c>
      <c r="G11" s="136"/>
      <c r="H11" s="9">
        <f t="shared" si="0"/>
        <v>12.059572013744859</v>
      </c>
      <c r="I11" s="9">
        <f t="shared" si="1"/>
        <v>6.1644092503815</v>
      </c>
      <c r="J11" s="9">
        <f t="shared" si="2"/>
        <v>0.26924648701813997</v>
      </c>
      <c r="K11" s="9">
        <f t="shared" si="3"/>
        <v>0.41440925038149856</v>
      </c>
      <c r="L11" s="9">
        <f t="shared" si="4"/>
        <v>0.5595720137448572</v>
      </c>
      <c r="M11" s="9">
        <f t="shared" si="5"/>
        <v>0.704734777108216</v>
      </c>
      <c r="N11" s="9">
        <f t="shared" si="6"/>
        <v>0.8498975404715746</v>
      </c>
      <c r="O11" s="9">
        <f t="shared" si="7"/>
        <v>0.954734777108216</v>
      </c>
      <c r="P11" s="9">
        <f>sunrise(Location!$B$4,Location!$B$5,Location!$B$6,7,A11,Location!$B$7,IF(Location!$B$8="No",0,1))</f>
        <v>0.26924648701813997</v>
      </c>
      <c r="Q11" s="9">
        <f>sunset(Location!$B$4,Location!$B$5,Location!$B$6,7,A11,Location!$B$7,IF(Location!$B$8="No",0,1))</f>
        <v>0.8498975404715746</v>
      </c>
      <c r="R11" s="9">
        <f t="shared" si="8"/>
        <v>0.5806510534534346</v>
      </c>
      <c r="S11" s="10">
        <f t="shared" si="9"/>
        <v>0.048387587787786214</v>
      </c>
      <c r="T11" s="9">
        <f t="shared" si="10"/>
        <v>23.419348946546567</v>
      </c>
      <c r="U11" s="10">
        <f t="shared" si="11"/>
        <v>0.034945745545547115</v>
      </c>
    </row>
    <row r="12" spans="1:21" ht="12.75">
      <c r="A12" s="5">
        <v>10</v>
      </c>
      <c r="B12" s="6" t="str">
        <f t="shared" si="12"/>
        <v>Friday</v>
      </c>
      <c r="C12" s="59"/>
      <c r="D12" s="92" t="s">
        <v>28</v>
      </c>
      <c r="E12" s="8" t="s">
        <v>21</v>
      </c>
      <c r="F12" s="6" t="s">
        <v>97</v>
      </c>
      <c r="G12" s="136"/>
      <c r="H12" s="9">
        <f t="shared" si="0"/>
        <v>12.059666037009928</v>
      </c>
      <c r="I12" s="9">
        <f t="shared" si="1"/>
        <v>6.164626548652822</v>
      </c>
      <c r="J12" s="9">
        <f t="shared" si="2"/>
        <v>0.2695870602957157</v>
      </c>
      <c r="K12" s="9">
        <f t="shared" si="3"/>
        <v>0.4146265486528221</v>
      </c>
      <c r="L12" s="9">
        <f t="shared" si="4"/>
        <v>0.5596660370099285</v>
      </c>
      <c r="M12" s="9">
        <f t="shared" si="5"/>
        <v>0.7047055253670349</v>
      </c>
      <c r="N12" s="9">
        <f t="shared" si="6"/>
        <v>0.8497450137241412</v>
      </c>
      <c r="O12" s="9">
        <f t="shared" si="7"/>
        <v>0.9547055253670348</v>
      </c>
      <c r="P12" s="9">
        <f>sunrise(Location!$B$4,Location!$B$5,Location!$B$6,7,A12,Location!$B$7,IF(Location!$B$8="No",0,1))</f>
        <v>0.2695870602957157</v>
      </c>
      <c r="Q12" s="9">
        <f>sunset(Location!$B$4,Location!$B$5,Location!$B$6,7,A12,Location!$B$7,IF(Location!$B$8="No",0,1))</f>
        <v>0.8497450137241412</v>
      </c>
      <c r="R12" s="9">
        <f t="shared" si="8"/>
        <v>0.5801579534284256</v>
      </c>
      <c r="S12" s="10">
        <f t="shared" si="9"/>
        <v>0.048346496119035465</v>
      </c>
      <c r="T12" s="9">
        <f t="shared" si="10"/>
        <v>23.419842046571574</v>
      </c>
      <c r="U12" s="10">
        <f t="shared" si="11"/>
        <v>0.034986837214297864</v>
      </c>
    </row>
    <row r="13" spans="1:21" ht="12.75">
      <c r="A13" s="5">
        <v>11</v>
      </c>
      <c r="B13" s="6" t="str">
        <f t="shared" si="12"/>
        <v>Saturday</v>
      </c>
      <c r="C13" s="59"/>
      <c r="D13" s="7"/>
      <c r="E13" s="8" t="s">
        <v>24</v>
      </c>
      <c r="F13" s="6" t="s">
        <v>98</v>
      </c>
      <c r="G13" s="140"/>
      <c r="H13" s="9">
        <f t="shared" si="0"/>
        <v>12.059755021369734</v>
      </c>
      <c r="I13" s="9">
        <f t="shared" si="1"/>
        <v>6.164844627873096</v>
      </c>
      <c r="J13" s="9">
        <f t="shared" si="2"/>
        <v>0.26993423437645875</v>
      </c>
      <c r="K13" s="9">
        <f t="shared" si="3"/>
        <v>0.4148446278730966</v>
      </c>
      <c r="L13" s="9">
        <f t="shared" si="4"/>
        <v>0.5597550213697344</v>
      </c>
      <c r="M13" s="9">
        <f t="shared" si="5"/>
        <v>0.7046654148663724</v>
      </c>
      <c r="N13" s="9">
        <f t="shared" si="6"/>
        <v>0.8495758083630103</v>
      </c>
      <c r="O13" s="9">
        <f t="shared" si="7"/>
        <v>0.9546654148663724</v>
      </c>
      <c r="P13" s="9">
        <f>sunrise(Location!$B$4,Location!$B$5,Location!$B$6,7,A13,Location!$B$7,IF(Location!$B$8="No",0,1))</f>
        <v>0.26993423437645875</v>
      </c>
      <c r="Q13" s="9">
        <f>sunset(Location!$B$4,Location!$B$5,Location!$B$6,7,A13,Location!$B$7,IF(Location!$B$8="No",0,1))</f>
        <v>0.8495758083630103</v>
      </c>
      <c r="R13" s="9">
        <f t="shared" si="8"/>
        <v>0.5796415739865515</v>
      </c>
      <c r="S13" s="10">
        <f t="shared" si="9"/>
        <v>0.04830346449887929</v>
      </c>
      <c r="T13" s="9">
        <f t="shared" si="10"/>
        <v>23.420358426013447</v>
      </c>
      <c r="U13" s="10">
        <f t="shared" si="11"/>
        <v>0.03502986883445404</v>
      </c>
    </row>
    <row r="14" spans="1:21" ht="12.75">
      <c r="A14" s="5">
        <v>12</v>
      </c>
      <c r="B14" s="6" t="str">
        <f t="shared" si="12"/>
        <v>Sunday</v>
      </c>
      <c r="C14" s="59"/>
      <c r="D14" s="92" t="s">
        <v>35</v>
      </c>
      <c r="E14" s="8" t="s">
        <v>26</v>
      </c>
      <c r="F14" s="6" t="s">
        <v>99</v>
      </c>
      <c r="G14" s="138" t="s">
        <v>303</v>
      </c>
      <c r="H14" s="9">
        <f t="shared" si="0"/>
        <v>12.05983878609642</v>
      </c>
      <c r="I14" s="9">
        <f t="shared" si="1"/>
        <v>6.165063215849968</v>
      </c>
      <c r="J14" s="9">
        <f t="shared" si="2"/>
        <v>0.27028764560351753</v>
      </c>
      <c r="K14" s="9">
        <f t="shared" si="3"/>
        <v>0.4150632158499691</v>
      </c>
      <c r="L14" s="9">
        <f t="shared" si="4"/>
        <v>0.5598387860964207</v>
      </c>
      <c r="M14" s="9">
        <f t="shared" si="5"/>
        <v>0.7046143563428722</v>
      </c>
      <c r="N14" s="9">
        <f t="shared" si="6"/>
        <v>0.8493899265893238</v>
      </c>
      <c r="O14" s="9">
        <f t="shared" si="7"/>
        <v>0.9546143563428722</v>
      </c>
      <c r="P14" s="9">
        <f>sunrise(Location!$B$4,Location!$B$5,Location!$B$6,7,A14,Location!$B$7,IF(Location!$B$8="No",0,1))</f>
        <v>0.27028764560351753</v>
      </c>
      <c r="Q14" s="9">
        <f>sunset(Location!$B$4,Location!$B$5,Location!$B$6,7,A14,Location!$B$7,IF(Location!$B$8="No",0,1))</f>
        <v>0.8493899265893238</v>
      </c>
      <c r="R14" s="9">
        <f t="shared" si="8"/>
        <v>0.5791022809858062</v>
      </c>
      <c r="S14" s="10">
        <f t="shared" si="9"/>
        <v>0.048258523415483846</v>
      </c>
      <c r="T14" s="9">
        <f t="shared" si="10"/>
        <v>23.420897719014192</v>
      </c>
      <c r="U14" s="10">
        <f t="shared" si="11"/>
        <v>0.03507480991784948</v>
      </c>
    </row>
    <row r="15" spans="1:21" ht="12.75">
      <c r="A15" s="5">
        <v>13</v>
      </c>
      <c r="B15" s="6" t="str">
        <f t="shared" si="12"/>
        <v>Monday</v>
      </c>
      <c r="C15" s="59"/>
      <c r="D15" s="92" t="s">
        <v>38</v>
      </c>
      <c r="E15" s="8" t="s">
        <v>29</v>
      </c>
      <c r="F15" s="6" t="s">
        <v>101</v>
      </c>
      <c r="G15" s="136"/>
      <c r="H15" s="9">
        <f t="shared" si="0"/>
        <v>12.059917158486</v>
      </c>
      <c r="I15" s="9">
        <f t="shared" si="1"/>
        <v>6.165282045784819</v>
      </c>
      <c r="J15" s="9">
        <f t="shared" si="2"/>
        <v>0.27064693308363724</v>
      </c>
      <c r="K15" s="9">
        <f t="shared" si="3"/>
        <v>0.415282045784819</v>
      </c>
      <c r="L15" s="9">
        <f t="shared" si="4"/>
        <v>0.5599171584860008</v>
      </c>
      <c r="M15" s="9">
        <f t="shared" si="5"/>
        <v>0.7045522711871826</v>
      </c>
      <c r="N15" s="9">
        <f t="shared" si="6"/>
        <v>0.8491873838883642</v>
      </c>
      <c r="O15" s="9">
        <f t="shared" si="7"/>
        <v>0.9545522711871824</v>
      </c>
      <c r="P15" s="9">
        <f>sunrise(Location!$B$4,Location!$B$5,Location!$B$6,7,A15,Location!$B$7,IF(Location!$B$8="No",0,1))</f>
        <v>0.27064693308363724</v>
      </c>
      <c r="Q15" s="9">
        <f>sunset(Location!$B$4,Location!$B$5,Location!$B$6,7,A15,Location!$B$7,IF(Location!$B$8="No",0,1))</f>
        <v>0.8491873838883642</v>
      </c>
      <c r="R15" s="9">
        <f t="shared" si="8"/>
        <v>0.5785404508047269</v>
      </c>
      <c r="S15" s="10">
        <f t="shared" si="9"/>
        <v>0.04821170423372725</v>
      </c>
      <c r="T15" s="9">
        <f t="shared" si="10"/>
        <v>23.421459549195273</v>
      </c>
      <c r="U15" s="10">
        <f t="shared" si="11"/>
        <v>0.03512162909960608</v>
      </c>
    </row>
    <row r="16" spans="1:21" ht="12.75">
      <c r="A16" s="5">
        <v>14</v>
      </c>
      <c r="B16" s="6" t="str">
        <f t="shared" si="12"/>
        <v>Tuesday</v>
      </c>
      <c r="C16" s="59"/>
      <c r="D16" s="7"/>
      <c r="E16" s="8" t="s">
        <v>32</v>
      </c>
      <c r="F16" s="6" t="s">
        <v>46</v>
      </c>
      <c r="G16" s="136"/>
      <c r="H16" s="9">
        <f t="shared" si="0"/>
        <v>12.059989974082466</v>
      </c>
      <c r="I16" s="9">
        <f t="shared" si="1"/>
        <v>6.165500856710546</v>
      </c>
      <c r="J16" s="9">
        <f t="shared" si="2"/>
        <v>0.27101173933862577</v>
      </c>
      <c r="K16" s="9">
        <f t="shared" si="3"/>
        <v>0.4155008567105455</v>
      </c>
      <c r="L16" s="9">
        <f t="shared" si="4"/>
        <v>0.5599899740824652</v>
      </c>
      <c r="M16" s="9">
        <f t="shared" si="5"/>
        <v>0.7044790914543849</v>
      </c>
      <c r="N16" s="9">
        <f t="shared" si="6"/>
        <v>0.8489682088263046</v>
      </c>
      <c r="O16" s="9">
        <f t="shared" si="7"/>
        <v>0.9544790914543849</v>
      </c>
      <c r="P16" s="9">
        <f>sunrise(Location!$B$4,Location!$B$5,Location!$B$6,7,A16,Location!$B$7,IF(Location!$B$8="No",0,1))</f>
        <v>0.27101173933862577</v>
      </c>
      <c r="Q16" s="9">
        <f>sunset(Location!$B$4,Location!$B$5,Location!$B$6,7,A16,Location!$B$7,IF(Location!$B$8="No",0,1))</f>
        <v>0.8489682088263046</v>
      </c>
      <c r="R16" s="9">
        <f t="shared" si="8"/>
        <v>0.5779564694876789</v>
      </c>
      <c r="S16" s="10">
        <f t="shared" si="9"/>
        <v>0.04816303912397324</v>
      </c>
      <c r="T16" s="9">
        <f t="shared" si="10"/>
        <v>23.422043530512322</v>
      </c>
      <c r="U16" s="10">
        <f t="shared" si="11"/>
        <v>0.03517029420936009</v>
      </c>
    </row>
    <row r="17" spans="1:21" ht="12.75">
      <c r="A17" s="5">
        <v>15</v>
      </c>
      <c r="B17" s="6" t="str">
        <f aca="true" t="shared" si="13" ref="B17:B23">B3</f>
        <v>Wednesday</v>
      </c>
      <c r="C17" s="59"/>
      <c r="D17" s="92" t="s">
        <v>40</v>
      </c>
      <c r="E17" s="8" t="s">
        <v>36</v>
      </c>
      <c r="F17" s="6" t="s">
        <v>47</v>
      </c>
      <c r="G17" s="136"/>
      <c r="H17" s="9">
        <f t="shared" si="0"/>
        <v>12.060057076882034</v>
      </c>
      <c r="I17" s="9">
        <f t="shared" si="1"/>
        <v>6.165719393910244</v>
      </c>
      <c r="J17" s="9">
        <f t="shared" si="2"/>
        <v>0.27138171093845487</v>
      </c>
      <c r="K17" s="9">
        <f t="shared" si="3"/>
        <v>0.41571939391024393</v>
      </c>
      <c r="L17" s="9">
        <f t="shared" si="4"/>
        <v>0.560057076882033</v>
      </c>
      <c r="M17" s="9">
        <f t="shared" si="5"/>
        <v>0.704394759853822</v>
      </c>
      <c r="N17" s="9">
        <f t="shared" si="6"/>
        <v>0.848732442825611</v>
      </c>
      <c r="O17" s="9">
        <f t="shared" si="7"/>
        <v>0.9543947598538219</v>
      </c>
      <c r="P17" s="9">
        <f>sunrise(Location!$B$4,Location!$B$5,Location!$B$6,7,A17,Location!$B$7,IF(Location!$B$8="No",0,1))</f>
        <v>0.27138171093845487</v>
      </c>
      <c r="Q17" s="9">
        <f>sunset(Location!$B$4,Location!$B$5,Location!$B$6,7,A17,Location!$B$7,IF(Location!$B$8="No",0,1))</f>
        <v>0.848732442825611</v>
      </c>
      <c r="R17" s="9">
        <f t="shared" si="8"/>
        <v>0.5773507318871561</v>
      </c>
      <c r="S17" s="10">
        <f t="shared" si="9"/>
        <v>0.04811256099059635</v>
      </c>
      <c r="T17" s="9">
        <f t="shared" si="10"/>
        <v>23.422649268112846</v>
      </c>
      <c r="U17" s="10">
        <f t="shared" si="11"/>
        <v>0.03522077234273698</v>
      </c>
    </row>
    <row r="18" spans="1:21" ht="12.75">
      <c r="A18" s="5">
        <v>16</v>
      </c>
      <c r="B18" s="6" t="str">
        <f t="shared" si="13"/>
        <v>Thursday</v>
      </c>
      <c r="C18" s="59"/>
      <c r="D18" s="92" t="s">
        <v>42</v>
      </c>
      <c r="E18" s="8" t="s">
        <v>17</v>
      </c>
      <c r="F18" s="6" t="s">
        <v>102</v>
      </c>
      <c r="G18" s="136"/>
      <c r="H18" s="9">
        <f t="shared" si="0"/>
        <v>12.060118319517906</v>
      </c>
      <c r="I18" s="9">
        <f t="shared" si="1"/>
        <v>6.165937409315513</v>
      </c>
      <c r="J18" s="9">
        <f t="shared" si="2"/>
        <v>0.27175649911311794</v>
      </c>
      <c r="K18" s="9">
        <f t="shared" si="3"/>
        <v>0.415937409315512</v>
      </c>
      <c r="L18" s="9">
        <f t="shared" si="4"/>
        <v>0.560118319517906</v>
      </c>
      <c r="M18" s="9">
        <f t="shared" si="5"/>
        <v>0.7042992297203</v>
      </c>
      <c r="N18" s="9">
        <f t="shared" si="6"/>
        <v>0.848480139922694</v>
      </c>
      <c r="O18" s="9">
        <f t="shared" si="7"/>
        <v>0.9542992297203</v>
      </c>
      <c r="P18" s="9">
        <f>sunrise(Location!$B$4,Location!$B$5,Location!$B$6,7,A18,Location!$B$7,IF(Location!$B$8="No",0,1))</f>
        <v>0.27175649911311794</v>
      </c>
      <c r="Q18" s="9">
        <f>sunset(Location!$B$4,Location!$B$5,Location!$B$6,7,A18,Location!$B$7,IF(Location!$B$8="No",0,1))</f>
        <v>0.848480139922694</v>
      </c>
      <c r="R18" s="9">
        <f t="shared" si="8"/>
        <v>0.576723640809576</v>
      </c>
      <c r="S18" s="10">
        <f t="shared" si="9"/>
        <v>0.048060303400798005</v>
      </c>
      <c r="T18" s="9">
        <f t="shared" si="10"/>
        <v>23.423276359190425</v>
      </c>
      <c r="U18" s="10">
        <f t="shared" si="11"/>
        <v>0.035273029932535324</v>
      </c>
    </row>
    <row r="19" spans="1:21" ht="12.75">
      <c r="A19" s="5">
        <v>17</v>
      </c>
      <c r="B19" s="6" t="str">
        <f t="shared" si="13"/>
        <v>Friday</v>
      </c>
      <c r="C19" s="59"/>
      <c r="D19" s="7"/>
      <c r="E19" s="8" t="s">
        <v>21</v>
      </c>
      <c r="F19" s="6" t="s">
        <v>103</v>
      </c>
      <c r="G19" s="136"/>
      <c r="H19" s="9">
        <f t="shared" si="0"/>
        <v>12.060173563425607</v>
      </c>
      <c r="I19" s="9">
        <f t="shared" si="1"/>
        <v>6.166154661884703</v>
      </c>
      <c r="J19" s="9">
        <f t="shared" si="2"/>
        <v>0.2721357603437987</v>
      </c>
      <c r="K19" s="9">
        <f t="shared" si="3"/>
        <v>0.4161546618847034</v>
      </c>
      <c r="L19" s="9">
        <f t="shared" si="4"/>
        <v>0.5601735634256081</v>
      </c>
      <c r="M19" s="9">
        <f t="shared" si="5"/>
        <v>0.7041924649665128</v>
      </c>
      <c r="N19" s="9">
        <f t="shared" si="6"/>
        <v>0.8482113665074175</v>
      </c>
      <c r="O19" s="9">
        <f t="shared" si="7"/>
        <v>0.9541924649665128</v>
      </c>
      <c r="P19" s="9">
        <f>sunrise(Location!$B$4,Location!$B$5,Location!$B$6,7,A19,Location!$B$7,IF(Location!$B$8="No",0,1))</f>
        <v>0.2721357603437987</v>
      </c>
      <c r="Q19" s="9">
        <f>sunset(Location!$B$4,Location!$B$5,Location!$B$6,7,A19,Location!$B$7,IF(Location!$B$8="No",0,1))</f>
        <v>0.8482113665074175</v>
      </c>
      <c r="R19" s="9">
        <f t="shared" si="8"/>
        <v>0.5760756061636187</v>
      </c>
      <c r="S19" s="10">
        <f t="shared" si="9"/>
        <v>0.04800630051363489</v>
      </c>
      <c r="T19" s="9">
        <f t="shared" si="10"/>
        <v>23.42392439383638</v>
      </c>
      <c r="U19" s="10">
        <f t="shared" si="11"/>
        <v>0.035327032819698435</v>
      </c>
    </row>
    <row r="20" spans="1:21" ht="12.75">
      <c r="A20" s="5">
        <v>18</v>
      </c>
      <c r="B20" s="6" t="str">
        <f t="shared" si="13"/>
        <v>Saturday</v>
      </c>
      <c r="C20" s="59"/>
      <c r="D20" s="92" t="s">
        <v>45</v>
      </c>
      <c r="E20" s="8" t="s">
        <v>24</v>
      </c>
      <c r="F20" s="6" t="s">
        <v>105</v>
      </c>
      <c r="G20" s="140"/>
      <c r="H20" s="9">
        <f t="shared" si="0"/>
        <v>12.06022267898856</v>
      </c>
      <c r="I20" s="9">
        <f t="shared" si="1"/>
        <v>6.166370917958999</v>
      </c>
      <c r="J20" s="9">
        <f t="shared" si="2"/>
        <v>0.2725191569294384</v>
      </c>
      <c r="K20" s="9">
        <f t="shared" si="3"/>
        <v>0.4163709179589987</v>
      </c>
      <c r="L20" s="9">
        <f t="shared" si="4"/>
        <v>0.560222678988559</v>
      </c>
      <c r="M20" s="9">
        <f t="shared" si="5"/>
        <v>0.7040744400181194</v>
      </c>
      <c r="N20" s="9">
        <f t="shared" si="6"/>
        <v>0.8479262010476797</v>
      </c>
      <c r="O20" s="9">
        <f t="shared" si="7"/>
        <v>0.9540744400181194</v>
      </c>
      <c r="P20" s="9">
        <f>sunrise(Location!$B$4,Location!$B$5,Location!$B$6,7,A20,Location!$B$7,IF(Location!$B$8="No",0,1))</f>
        <v>0.2725191569294384</v>
      </c>
      <c r="Q20" s="9">
        <f>sunset(Location!$B$4,Location!$B$5,Location!$B$6,7,A20,Location!$B$7,IF(Location!$B$8="No",0,1))</f>
        <v>0.8479262010476797</v>
      </c>
      <c r="R20" s="9">
        <f t="shared" si="8"/>
        <v>0.5754070441182413</v>
      </c>
      <c r="S20" s="10">
        <f t="shared" si="9"/>
        <v>0.04795058700985344</v>
      </c>
      <c r="T20" s="9">
        <f t="shared" si="10"/>
        <v>23.42459295588176</v>
      </c>
      <c r="U20" s="10">
        <f t="shared" si="11"/>
        <v>0.03538274632347989</v>
      </c>
    </row>
    <row r="21" spans="1:21" ht="12.75">
      <c r="A21" s="5">
        <v>19</v>
      </c>
      <c r="B21" s="6" t="str">
        <f t="shared" si="13"/>
        <v>Sunday</v>
      </c>
      <c r="C21" s="59"/>
      <c r="D21" s="7"/>
      <c r="E21" s="8" t="s">
        <v>26</v>
      </c>
      <c r="F21" s="6" t="s">
        <v>107</v>
      </c>
      <c r="G21" s="138" t="s">
        <v>304</v>
      </c>
      <c r="H21" s="9">
        <f t="shared" si="0"/>
        <v>12.060265545663242</v>
      </c>
      <c r="I21" s="9">
        <f t="shared" si="1"/>
        <v>6.166585951595616</v>
      </c>
      <c r="J21" s="9">
        <f t="shared" si="2"/>
        <v>0.2729063575279893</v>
      </c>
      <c r="K21" s="9">
        <f t="shared" si="3"/>
        <v>0.4165859515956153</v>
      </c>
      <c r="L21" s="9">
        <f t="shared" si="4"/>
        <v>0.5602655456632413</v>
      </c>
      <c r="M21" s="9">
        <f t="shared" si="5"/>
        <v>0.7039451397308673</v>
      </c>
      <c r="N21" s="9">
        <f t="shared" si="6"/>
        <v>0.8476247337984932</v>
      </c>
      <c r="O21" s="9">
        <f t="shared" si="7"/>
        <v>0.9539451397308673</v>
      </c>
      <c r="P21" s="9">
        <f>sunrise(Location!$B$4,Location!$B$5,Location!$B$6,7,A21,Location!$B$7,IF(Location!$B$8="No",0,1))</f>
        <v>0.2729063575279893</v>
      </c>
      <c r="Q21" s="9">
        <f>sunset(Location!$B$4,Location!$B$5,Location!$B$6,7,A21,Location!$B$7,IF(Location!$B$8="No",0,1))</f>
        <v>0.8476247337984932</v>
      </c>
      <c r="R21" s="9">
        <f t="shared" si="8"/>
        <v>0.5747183762705039</v>
      </c>
      <c r="S21" s="10">
        <f t="shared" si="9"/>
        <v>0.047893198022541994</v>
      </c>
      <c r="T21" s="9">
        <f t="shared" si="10"/>
        <v>23.425281623729497</v>
      </c>
      <c r="U21" s="10">
        <f t="shared" si="11"/>
        <v>0.035440135310791335</v>
      </c>
    </row>
    <row r="22" spans="1:21" ht="12.75">
      <c r="A22" s="5">
        <v>20</v>
      </c>
      <c r="B22" s="6" t="str">
        <f t="shared" si="13"/>
        <v>Monday</v>
      </c>
      <c r="C22" s="59"/>
      <c r="D22" s="92" t="s">
        <v>48</v>
      </c>
      <c r="E22" s="8" t="s">
        <v>29</v>
      </c>
      <c r="F22" s="6" t="s">
        <v>108</v>
      </c>
      <c r="G22" s="136"/>
      <c r="H22" s="9">
        <f t="shared" si="0"/>
        <v>12.06030205208524</v>
      </c>
      <c r="I22" s="9">
        <f t="shared" si="1"/>
        <v>6.166799544878389</v>
      </c>
      <c r="J22" s="9">
        <f t="shared" si="2"/>
        <v>0.2732970376715376</v>
      </c>
      <c r="K22" s="9">
        <f t="shared" si="3"/>
        <v>0.4167995448783888</v>
      </c>
      <c r="L22" s="9">
        <f t="shared" si="4"/>
        <v>0.56030205208524</v>
      </c>
      <c r="M22" s="9">
        <f t="shared" si="5"/>
        <v>0.7038045592920911</v>
      </c>
      <c r="N22" s="9">
        <f t="shared" si="6"/>
        <v>0.8473070664989422</v>
      </c>
      <c r="O22" s="9">
        <f t="shared" si="7"/>
        <v>0.953804559292091</v>
      </c>
      <c r="P22" s="9">
        <f>sunrise(Location!$B$4,Location!$B$5,Location!$B$6,7,A22,Location!$B$7,IF(Location!$B$8="No",0,1))</f>
        <v>0.2732970376715376</v>
      </c>
      <c r="Q22" s="9">
        <f>sunset(Location!$B$4,Location!$B$5,Location!$B$6,7,A22,Location!$B$7,IF(Location!$B$8="No",0,1))</f>
        <v>0.8473070664989422</v>
      </c>
      <c r="R22" s="9">
        <f t="shared" si="8"/>
        <v>0.5740100288274046</v>
      </c>
      <c r="S22" s="10">
        <f t="shared" si="9"/>
        <v>0.04783416906895038</v>
      </c>
      <c r="T22" s="9">
        <f t="shared" si="10"/>
        <v>23.425989971172594</v>
      </c>
      <c r="U22" s="10">
        <f t="shared" si="11"/>
        <v>0.035499164264382946</v>
      </c>
    </row>
    <row r="23" spans="1:21" ht="12.75">
      <c r="A23" s="5">
        <v>21</v>
      </c>
      <c r="B23" s="6" t="str">
        <f t="shared" si="13"/>
        <v>Tuesday</v>
      </c>
      <c r="C23" s="59"/>
      <c r="D23" s="92" t="s">
        <v>50</v>
      </c>
      <c r="E23" s="8" t="s">
        <v>32</v>
      </c>
      <c r="F23" s="6" t="s">
        <v>110</v>
      </c>
      <c r="G23" s="136"/>
      <c r="H23" s="9">
        <f t="shared" si="0"/>
        <v>12.060332096155195</v>
      </c>
      <c r="I23" s="9">
        <f t="shared" si="1"/>
        <v>6.167011488204188</v>
      </c>
      <c r="J23" s="9">
        <f t="shared" si="2"/>
        <v>0.27369088025318083</v>
      </c>
      <c r="K23" s="9">
        <f t="shared" si="3"/>
        <v>0.41701148820418754</v>
      </c>
      <c r="L23" s="9">
        <f t="shared" si="4"/>
        <v>0.5603320961551943</v>
      </c>
      <c r="M23" s="9">
        <f t="shared" si="5"/>
        <v>0.7036527041062011</v>
      </c>
      <c r="N23" s="9">
        <f t="shared" si="6"/>
        <v>0.8469733120572079</v>
      </c>
      <c r="O23" s="9">
        <f t="shared" si="7"/>
        <v>0.9536527041062012</v>
      </c>
      <c r="P23" s="9">
        <f>sunrise(Location!$B$4,Location!$B$5,Location!$B$6,7,A23,Location!$B$7,IF(Location!$B$8="No",0,1))</f>
        <v>0.27369088025318083</v>
      </c>
      <c r="Q23" s="9">
        <f>sunset(Location!$B$4,Location!$B$5,Location!$B$6,7,A23,Location!$B$7,IF(Location!$B$8="No",0,1))</f>
        <v>0.8469733120572079</v>
      </c>
      <c r="R23" s="9">
        <f t="shared" si="8"/>
        <v>0.573282431804027</v>
      </c>
      <c r="S23" s="10">
        <f t="shared" si="9"/>
        <v>0.04777353598366892</v>
      </c>
      <c r="T23" s="9">
        <f t="shared" si="10"/>
        <v>23.426717568195972</v>
      </c>
      <c r="U23" s="10">
        <f t="shared" si="11"/>
        <v>0.035559797349664406</v>
      </c>
    </row>
    <row r="24" spans="1:21" ht="12.75">
      <c r="A24" s="5">
        <v>22</v>
      </c>
      <c r="B24" s="6" t="str">
        <f aca="true" t="shared" si="14" ref="B24:B30">B3</f>
        <v>Wednesday</v>
      </c>
      <c r="C24" s="59"/>
      <c r="D24" s="7"/>
      <c r="E24" s="8" t="s">
        <v>36</v>
      </c>
      <c r="F24" s="6" t="s">
        <v>111</v>
      </c>
      <c r="G24" s="45" t="s">
        <v>222</v>
      </c>
      <c r="H24" s="9">
        <f t="shared" si="0"/>
        <v>12.060355585105155</v>
      </c>
      <c r="I24" s="9">
        <f t="shared" si="1"/>
        <v>6.167221580544873</v>
      </c>
      <c r="J24" s="9">
        <f t="shared" si="2"/>
        <v>0.27408757598459194</v>
      </c>
      <c r="K24" s="9">
        <f t="shared" si="3"/>
        <v>0.41722158054487424</v>
      </c>
      <c r="L24" s="9">
        <f t="shared" si="4"/>
        <v>0.5603555851051565</v>
      </c>
      <c r="M24" s="9">
        <f t="shared" si="5"/>
        <v>0.7034895896654387</v>
      </c>
      <c r="N24" s="9">
        <f t="shared" si="6"/>
        <v>0.8466235942257209</v>
      </c>
      <c r="O24" s="9">
        <f t="shared" si="7"/>
        <v>0.9534895896654386</v>
      </c>
      <c r="P24" s="9">
        <f>sunrise(Location!$B$4,Location!$B$5,Location!$B$6,7,A24,Location!$B$7,IF(Location!$B$8="No",0,1))</f>
        <v>0.27408757598459194</v>
      </c>
      <c r="Q24" s="9">
        <f>sunset(Location!$B$4,Location!$B$5,Location!$B$6,7,A24,Location!$B$7,IF(Location!$B$8="No",0,1))</f>
        <v>0.8466235942257209</v>
      </c>
      <c r="R24" s="9">
        <f t="shared" si="8"/>
        <v>0.572536018241129</v>
      </c>
      <c r="S24" s="10">
        <f t="shared" si="9"/>
        <v>0.04771133485342741</v>
      </c>
      <c r="T24" s="9">
        <f t="shared" si="10"/>
        <v>23.42746398175887</v>
      </c>
      <c r="U24" s="10">
        <f t="shared" si="11"/>
        <v>0.035621998479905916</v>
      </c>
    </row>
    <row r="25" spans="1:21" ht="12.75">
      <c r="A25" s="5">
        <v>23</v>
      </c>
      <c r="B25" s="6" t="str">
        <f t="shared" si="14"/>
        <v>Thursday</v>
      </c>
      <c r="C25" s="59"/>
      <c r="D25" s="92" t="s">
        <v>53</v>
      </c>
      <c r="E25" s="8" t="s">
        <v>17</v>
      </c>
      <c r="F25" s="6" t="s">
        <v>112</v>
      </c>
      <c r="G25" s="136"/>
      <c r="H25" s="9">
        <f t="shared" si="0"/>
        <v>12.060372435545762</v>
      </c>
      <c r="I25" s="9">
        <f t="shared" si="1"/>
        <v>6.167429629685131</v>
      </c>
      <c r="J25" s="9">
        <f t="shared" si="2"/>
        <v>0.2744868238245006</v>
      </c>
      <c r="K25" s="9">
        <f t="shared" si="3"/>
        <v>0.417429629685131</v>
      </c>
      <c r="L25" s="9">
        <f t="shared" si="4"/>
        <v>0.5603724355457613</v>
      </c>
      <c r="M25" s="9">
        <f t="shared" si="5"/>
        <v>0.7033152414063917</v>
      </c>
      <c r="N25" s="9">
        <f t="shared" si="6"/>
        <v>0.8462580472670221</v>
      </c>
      <c r="O25" s="9">
        <f t="shared" si="7"/>
        <v>0.9533152414063918</v>
      </c>
      <c r="P25" s="9">
        <f>sunrise(Location!$B$4,Location!$B$5,Location!$B$6,7,A25,Location!$B$7,IF(Location!$B$8="No",0,1))</f>
        <v>0.2744868238245006</v>
      </c>
      <c r="Q25" s="9">
        <f>sunset(Location!$B$4,Location!$B$5,Location!$B$6,7,A25,Location!$B$7,IF(Location!$B$8="No",0,1))</f>
        <v>0.8462580472670221</v>
      </c>
      <c r="R25" s="9">
        <f t="shared" si="8"/>
        <v>0.5717712234425215</v>
      </c>
      <c r="S25" s="10">
        <f t="shared" si="9"/>
        <v>0.04764760195354346</v>
      </c>
      <c r="T25" s="9">
        <f t="shared" si="10"/>
        <v>23.42822877655748</v>
      </c>
      <c r="U25" s="10">
        <f t="shared" si="11"/>
        <v>0.03568573137978987</v>
      </c>
    </row>
    <row r="26" spans="1:21" ht="12.75">
      <c r="A26" s="5">
        <v>24</v>
      </c>
      <c r="B26" s="6" t="str">
        <f t="shared" si="14"/>
        <v>Friday</v>
      </c>
      <c r="C26" s="59"/>
      <c r="D26" s="92" t="s">
        <v>55</v>
      </c>
      <c r="E26" s="8" t="s">
        <v>21</v>
      </c>
      <c r="F26" s="6" t="s">
        <v>113</v>
      </c>
      <c r="G26" s="136"/>
      <c r="H26" s="9">
        <f t="shared" si="0"/>
        <v>12.060382573494158</v>
      </c>
      <c r="I26" s="9">
        <f t="shared" si="1"/>
        <v>6.167635452435126</v>
      </c>
      <c r="J26" s="9">
        <f t="shared" si="2"/>
        <v>0.2748883313760934</v>
      </c>
      <c r="K26" s="9">
        <f t="shared" si="3"/>
        <v>0.41763545243512534</v>
      </c>
      <c r="L26" s="9">
        <f t="shared" si="4"/>
        <v>0.5603825734941572</v>
      </c>
      <c r="M26" s="9">
        <f t="shared" si="5"/>
        <v>0.7031296945531891</v>
      </c>
      <c r="N26" s="9">
        <f t="shared" si="6"/>
        <v>0.8458768156122211</v>
      </c>
      <c r="O26" s="9">
        <f t="shared" si="7"/>
        <v>0.9531296945531891</v>
      </c>
      <c r="P26" s="9">
        <f>sunrise(Location!$B$4,Location!$B$5,Location!$B$6,7,A26,Location!$B$7,IF(Location!$B$8="No",0,1))</f>
        <v>0.2748883313760934</v>
      </c>
      <c r="Q26" s="9">
        <f>sunset(Location!$B$4,Location!$B$5,Location!$B$6,7,A26,Location!$B$7,IF(Location!$B$8="No",0,1))</f>
        <v>0.8458768156122211</v>
      </c>
      <c r="R26" s="9">
        <f t="shared" si="8"/>
        <v>0.5709884842361277</v>
      </c>
      <c r="S26" s="10">
        <f t="shared" si="9"/>
        <v>0.04758237368634397</v>
      </c>
      <c r="T26" s="9">
        <f t="shared" si="10"/>
        <v>23.42901151576387</v>
      </c>
      <c r="U26" s="10">
        <f t="shared" si="11"/>
        <v>0.03575095964698936</v>
      </c>
    </row>
    <row r="27" spans="1:21" ht="12.75">
      <c r="A27" s="5">
        <v>25</v>
      </c>
      <c r="B27" s="6" t="str">
        <f t="shared" si="14"/>
        <v>Saturday</v>
      </c>
      <c r="C27" s="59"/>
      <c r="D27" s="7"/>
      <c r="E27" s="8" t="s">
        <v>24</v>
      </c>
      <c r="F27" s="6" t="s">
        <v>114</v>
      </c>
      <c r="G27" s="47" t="s">
        <v>223</v>
      </c>
      <c r="H27" s="9">
        <f t="shared" si="0"/>
        <v>12.060385934383739</v>
      </c>
      <c r="I27" s="9">
        <f t="shared" si="1"/>
        <v>6.167838874818635</v>
      </c>
      <c r="J27" s="9">
        <f t="shared" si="2"/>
        <v>0.27529181525353064</v>
      </c>
      <c r="K27" s="9">
        <f t="shared" si="3"/>
        <v>0.417838874818635</v>
      </c>
      <c r="L27" s="9">
        <f t="shared" si="4"/>
        <v>0.5603859343837394</v>
      </c>
      <c r="M27" s="9">
        <f t="shared" si="5"/>
        <v>0.7029329939488438</v>
      </c>
      <c r="N27" s="9">
        <f t="shared" si="6"/>
        <v>0.8454800535139481</v>
      </c>
      <c r="O27" s="9">
        <f t="shared" si="7"/>
        <v>0.9529329939488437</v>
      </c>
      <c r="P27" s="9">
        <f>sunrise(Location!$B$4,Location!$B$5,Location!$B$6,7,A27,Location!$B$7,IF(Location!$B$8="No",0,1))</f>
        <v>0.27529181525353064</v>
      </c>
      <c r="Q27" s="9">
        <f>sunset(Location!$B$4,Location!$B$5,Location!$B$6,7,A27,Location!$B$7,IF(Location!$B$8="No",0,1))</f>
        <v>0.8454800535139481</v>
      </c>
      <c r="R27" s="9">
        <f t="shared" si="8"/>
        <v>0.5701882382604174</v>
      </c>
      <c r="S27" s="10">
        <f t="shared" si="9"/>
        <v>0.047515686521701454</v>
      </c>
      <c r="T27" s="9">
        <f t="shared" si="10"/>
        <v>23.429811761739582</v>
      </c>
      <c r="U27" s="10">
        <f t="shared" si="11"/>
        <v>0.035817646811631874</v>
      </c>
    </row>
    <row r="28" spans="1:21" ht="12.75">
      <c r="A28" s="5">
        <v>26</v>
      </c>
      <c r="B28" s="6" t="str">
        <f t="shared" si="14"/>
        <v>Sunday</v>
      </c>
      <c r="C28" s="59"/>
      <c r="D28" s="92" t="s">
        <v>59</v>
      </c>
      <c r="E28" s="8" t="s">
        <v>26</v>
      </c>
      <c r="F28" s="6" t="s">
        <v>116</v>
      </c>
      <c r="G28" s="138" t="s">
        <v>305</v>
      </c>
      <c r="H28" s="9">
        <f t="shared" si="0"/>
        <v>12.060382463055156</v>
      </c>
      <c r="I28" s="9">
        <f t="shared" si="1"/>
        <v>6.168039732235996</v>
      </c>
      <c r="J28" s="9">
        <f t="shared" si="2"/>
        <v>0.27569700141683623</v>
      </c>
      <c r="K28" s="9">
        <f t="shared" si="3"/>
        <v>0.4180397322359968</v>
      </c>
      <c r="L28" s="9">
        <f t="shared" si="4"/>
        <v>0.5603824630551573</v>
      </c>
      <c r="M28" s="9">
        <f t="shared" si="5"/>
        <v>0.7027251938743178</v>
      </c>
      <c r="N28" s="9">
        <f t="shared" si="6"/>
        <v>0.8450679246934782</v>
      </c>
      <c r="O28" s="9">
        <f t="shared" si="7"/>
        <v>0.9527251938743178</v>
      </c>
      <c r="P28" s="9">
        <f>sunrise(Location!$B$4,Location!$B$5,Location!$B$6,7,A28,Location!$B$7,IF(Location!$B$8="No",0,1))</f>
        <v>0.27569700141683623</v>
      </c>
      <c r="Q28" s="9">
        <f>sunset(Location!$B$4,Location!$B$5,Location!$B$6,7,A28,Location!$B$7,IF(Location!$B$8="No",0,1))</f>
        <v>0.8450679246934782</v>
      </c>
      <c r="R28" s="9">
        <f t="shared" si="8"/>
        <v>0.569370923276642</v>
      </c>
      <c r="S28" s="10">
        <f t="shared" si="9"/>
        <v>0.04744757693972016</v>
      </c>
      <c r="T28" s="9">
        <f t="shared" si="10"/>
        <v>23.430629076723356</v>
      </c>
      <c r="U28" s="10">
        <f t="shared" si="11"/>
        <v>0.03588575639361317</v>
      </c>
    </row>
    <row r="29" spans="1:21" ht="12.75">
      <c r="A29" s="5">
        <v>27</v>
      </c>
      <c r="B29" s="6" t="str">
        <f t="shared" si="14"/>
        <v>Monday</v>
      </c>
      <c r="C29" s="59"/>
      <c r="D29" s="92" t="s">
        <v>61</v>
      </c>
      <c r="E29" s="8" t="s">
        <v>29</v>
      </c>
      <c r="F29" s="6" t="s">
        <v>117</v>
      </c>
      <c r="G29" s="136"/>
      <c r="H29" s="9">
        <f t="shared" si="0"/>
        <v>12.06037211372964</v>
      </c>
      <c r="I29" s="9">
        <f t="shared" si="1"/>
        <v>6.1682378696026685</v>
      </c>
      <c r="J29" s="9">
        <f t="shared" si="2"/>
        <v>0.27610362547569745</v>
      </c>
      <c r="K29" s="9">
        <f t="shared" si="3"/>
        <v>0.41823786960266873</v>
      </c>
      <c r="L29" s="9">
        <f t="shared" si="4"/>
        <v>0.56037211372964</v>
      </c>
      <c r="M29" s="9">
        <f t="shared" si="5"/>
        <v>0.7025063578566113</v>
      </c>
      <c r="N29" s="9">
        <f t="shared" si="6"/>
        <v>0.8446406019835826</v>
      </c>
      <c r="O29" s="9">
        <f t="shared" si="7"/>
        <v>0.9525063578566113</v>
      </c>
      <c r="P29" s="9">
        <f>sunrise(Location!$B$4,Location!$B$5,Location!$B$6,7,A29,Location!$B$7,IF(Location!$B$8="No",0,1))</f>
        <v>0.27610362547569745</v>
      </c>
      <c r="Q29" s="9">
        <f>sunset(Location!$B$4,Location!$B$5,Location!$B$6,7,A29,Location!$B$7,IF(Location!$B$8="No",0,1))</f>
        <v>0.8446406019835826</v>
      </c>
      <c r="R29" s="9">
        <f t="shared" si="8"/>
        <v>0.5685369765078852</v>
      </c>
      <c r="S29" s="10">
        <f t="shared" si="9"/>
        <v>0.0473780813756571</v>
      </c>
      <c r="T29" s="9">
        <f t="shared" si="10"/>
        <v>23.431463023492114</v>
      </c>
      <c r="U29" s="10">
        <f t="shared" si="11"/>
        <v>0.03595525195767623</v>
      </c>
    </row>
    <row r="30" spans="1:21" ht="12.75">
      <c r="A30" s="5">
        <v>28</v>
      </c>
      <c r="B30" s="6" t="str">
        <f t="shared" si="14"/>
        <v>Tuesday</v>
      </c>
      <c r="C30" s="59"/>
      <c r="D30" s="7"/>
      <c r="E30" s="8" t="s">
        <v>32</v>
      </c>
      <c r="F30" s="6" t="s">
        <v>118</v>
      </c>
      <c r="G30" s="136"/>
      <c r="H30" s="9">
        <f t="shared" si="0"/>
        <v>12.060354849965858</v>
      </c>
      <c r="I30" s="9">
        <f t="shared" si="1"/>
        <v>6.168433141463239</v>
      </c>
      <c r="J30" s="9">
        <f t="shared" si="2"/>
        <v>0.2765114329606187</v>
      </c>
      <c r="K30" s="9">
        <f t="shared" si="3"/>
        <v>0.41843314146323785</v>
      </c>
      <c r="L30" s="9">
        <f t="shared" si="4"/>
        <v>0.560354849965857</v>
      </c>
      <c r="M30" s="9">
        <f t="shared" si="5"/>
        <v>0.7022765584684763</v>
      </c>
      <c r="N30" s="9">
        <f t="shared" si="6"/>
        <v>0.8441982669710956</v>
      </c>
      <c r="O30" s="9">
        <f t="shared" si="7"/>
        <v>0.9522765584684764</v>
      </c>
      <c r="P30" s="9">
        <f>sunrise(Location!$B$4,Location!$B$5,Location!$B$6,7,A30,Location!$B$7,IF(Location!$B$8="No",0,1))</f>
        <v>0.2765114329606187</v>
      </c>
      <c r="Q30" s="9">
        <f>sunset(Location!$B$4,Location!$B$5,Location!$B$6,7,A30,Location!$B$7,IF(Location!$B$8="No",0,1))</f>
        <v>0.8441982669710956</v>
      </c>
      <c r="R30" s="9">
        <f t="shared" si="8"/>
        <v>0.5676868340104768</v>
      </c>
      <c r="S30" s="10">
        <f t="shared" si="9"/>
        <v>0.047307236167539735</v>
      </c>
      <c r="T30" s="9">
        <f t="shared" si="10"/>
        <v>23.432313165989523</v>
      </c>
      <c r="U30" s="10">
        <f t="shared" si="11"/>
        <v>0.036026097165793594</v>
      </c>
    </row>
    <row r="31" spans="1:21" ht="12.75">
      <c r="A31" s="5">
        <v>29</v>
      </c>
      <c r="B31" s="6" t="str">
        <f>B3</f>
        <v>Wednesday</v>
      </c>
      <c r="C31" s="59"/>
      <c r="D31" s="92" t="s">
        <v>64</v>
      </c>
      <c r="E31" s="8" t="s">
        <v>36</v>
      </c>
      <c r="F31" s="6" t="s">
        <v>119</v>
      </c>
      <c r="G31" s="136"/>
      <c r="H31" s="9">
        <f t="shared" si="0"/>
        <v>12.060330644598942</v>
      </c>
      <c r="I31" s="9">
        <f t="shared" si="1"/>
        <v>6.168625412080992</v>
      </c>
      <c r="J31" s="9">
        <f t="shared" si="2"/>
        <v>0.27692017956304193</v>
      </c>
      <c r="K31" s="9">
        <f t="shared" si="3"/>
        <v>0.41862541208099185</v>
      </c>
      <c r="L31" s="9">
        <f t="shared" si="4"/>
        <v>0.5603306445989418</v>
      </c>
      <c r="M31" s="9">
        <f t="shared" si="5"/>
        <v>0.7020358771168917</v>
      </c>
      <c r="N31" s="9">
        <f t="shared" si="6"/>
        <v>0.8437411096348416</v>
      </c>
      <c r="O31" s="9">
        <f t="shared" si="7"/>
        <v>0.9520358771168917</v>
      </c>
      <c r="P31" s="9">
        <f>sunrise(Location!$B$4,Location!$B$5,Location!$B$6,7,A31,Location!$B$7,IF(Location!$B$8="No",0,1))</f>
        <v>0.27692017956304193</v>
      </c>
      <c r="Q31" s="9">
        <f>sunset(Location!$B$4,Location!$B$5,Location!$B$6,7,A31,Location!$B$7,IF(Location!$B$8="No",0,1))</f>
        <v>0.8437411096348416</v>
      </c>
      <c r="R31" s="9">
        <f t="shared" si="8"/>
        <v>0.5668209300717997</v>
      </c>
      <c r="S31" s="10">
        <f t="shared" si="9"/>
        <v>0.047235077505983304</v>
      </c>
      <c r="T31" s="9">
        <f t="shared" si="10"/>
        <v>23.4331790699282</v>
      </c>
      <c r="U31" s="10">
        <f t="shared" si="11"/>
        <v>0.036098255827350025</v>
      </c>
    </row>
    <row r="32" spans="1:21" ht="12.75">
      <c r="A32" s="5">
        <v>30</v>
      </c>
      <c r="B32" s="6" t="str">
        <f>B4</f>
        <v>Thursday</v>
      </c>
      <c r="C32" s="59"/>
      <c r="D32" s="92" t="s">
        <v>67</v>
      </c>
      <c r="E32" s="8" t="s">
        <v>17</v>
      </c>
      <c r="F32" s="6" t="s">
        <v>120</v>
      </c>
      <c r="G32" s="136"/>
      <c r="H32" s="9">
        <f t="shared" si="0"/>
        <v>12.060299479664877</v>
      </c>
      <c r="I32" s="9">
        <f t="shared" si="1"/>
        <v>6.168814555504589</v>
      </c>
      <c r="J32" s="9">
        <f t="shared" si="2"/>
        <v>0.27732963134430066</v>
      </c>
      <c r="K32" s="9">
        <f t="shared" si="3"/>
        <v>0.4188145555045882</v>
      </c>
      <c r="L32" s="9">
        <f t="shared" si="4"/>
        <v>0.5602994796648757</v>
      </c>
      <c r="M32" s="9">
        <f t="shared" si="5"/>
        <v>0.7017844038251632</v>
      </c>
      <c r="N32" s="9">
        <f t="shared" si="6"/>
        <v>0.8432693279854506</v>
      </c>
      <c r="O32" s="9">
        <f t="shared" si="7"/>
        <v>0.9517844038251632</v>
      </c>
      <c r="P32" s="9">
        <f>sunrise(Location!$B$4,Location!$B$5,Location!$B$6,7,A32,Location!$B$7,IF(Location!$B$8="No",0,1))</f>
        <v>0.27732963134430066</v>
      </c>
      <c r="Q32" s="9">
        <f>sunset(Location!$B$4,Location!$B$5,Location!$B$6,7,A32,Location!$B$7,IF(Location!$B$8="No",0,1))</f>
        <v>0.8432693279854506</v>
      </c>
      <c r="R32" s="9">
        <f t="shared" si="8"/>
        <v>0.56593969664115</v>
      </c>
      <c r="S32" s="10">
        <f t="shared" si="9"/>
        <v>0.047161641386762494</v>
      </c>
      <c r="T32" s="9">
        <f t="shared" si="10"/>
        <v>23.43406030335885</v>
      </c>
      <c r="U32" s="10">
        <f t="shared" si="11"/>
        <v>0.036171691946570834</v>
      </c>
    </row>
    <row r="33" spans="1:21" ht="12.75">
      <c r="A33" s="5">
        <v>31</v>
      </c>
      <c r="B33" s="6" t="str">
        <f>B5</f>
        <v>Friday</v>
      </c>
      <c r="C33" s="59"/>
      <c r="D33" s="92" t="s">
        <v>69</v>
      </c>
      <c r="E33" s="8" t="s">
        <v>21</v>
      </c>
      <c r="F33" s="6" t="s">
        <v>78</v>
      </c>
      <c r="G33" s="136"/>
      <c r="H33" s="9">
        <f t="shared" si="0"/>
        <v>12.060261346308906</v>
      </c>
      <c r="I33" s="9">
        <f t="shared" si="1"/>
        <v>6.169000455610975</v>
      </c>
      <c r="J33" s="9">
        <f t="shared" si="2"/>
        <v>0.27773956491304425</v>
      </c>
      <c r="K33" s="9">
        <f t="shared" si="3"/>
        <v>0.4190004556109749</v>
      </c>
      <c r="L33" s="9">
        <f t="shared" si="4"/>
        <v>0.5602613463089055</v>
      </c>
      <c r="M33" s="9">
        <f t="shared" si="5"/>
        <v>0.7015222370068361</v>
      </c>
      <c r="N33" s="9">
        <f t="shared" si="6"/>
        <v>0.8427831277047668</v>
      </c>
      <c r="O33" s="9">
        <f t="shared" si="7"/>
        <v>0.9515222370068361</v>
      </c>
      <c r="P33" s="9">
        <f>sunrise(Location!$B$4,Location!$B$5,Location!$B$6,7,A33,Location!$B$7,IF(Location!$B$8="No",0,1))</f>
        <v>0.27773956491304425</v>
      </c>
      <c r="Q33" s="9">
        <f>sunset(Location!$B$4,Location!$B$5,Location!$B$6,7,A33,Location!$B$7,IF(Location!$B$8="No",0,1))</f>
        <v>0.8427831277047668</v>
      </c>
      <c r="R33" s="9">
        <f t="shared" si="8"/>
        <v>0.5650435627917225</v>
      </c>
      <c r="S33" s="10">
        <f t="shared" si="9"/>
        <v>0.04708696356597688</v>
      </c>
      <c r="T33" s="9">
        <f t="shared" si="10"/>
        <v>23.434956437208278</v>
      </c>
      <c r="U33" s="10">
        <f t="shared" si="11"/>
        <v>0.03624636976735645</v>
      </c>
    </row>
    <row r="34" spans="21:22" ht="12.75">
      <c r="U34" s="19"/>
      <c r="V34" s="4"/>
    </row>
    <row r="35" spans="1:22" ht="12.75">
      <c r="A35" s="6"/>
      <c r="U35" s="19"/>
      <c r="V35" s="4"/>
    </row>
    <row r="36" spans="21:22" ht="12.75">
      <c r="U36" s="19"/>
      <c r="V36" s="4"/>
    </row>
    <row r="37" spans="3:4" ht="12.75">
      <c r="C37" s="58" t="str">
        <f>IF(Location!B9="No",Location!C13,Location!C14)</f>
        <v>D</v>
      </c>
      <c r="D37" s="52"/>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U37"/>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574218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175</v>
      </c>
      <c r="B1" s="118"/>
      <c r="C1" s="118"/>
      <c r="D1" s="118"/>
      <c r="E1" s="119" t="str">
        <f>ROMAN(Location!$B$6)</f>
        <v>MMIX</v>
      </c>
      <c r="F1" s="118"/>
      <c r="G1" s="118"/>
      <c r="H1" s="120"/>
      <c r="I1" s="120"/>
      <c r="J1" s="120"/>
      <c r="K1" s="120"/>
      <c r="L1" s="120"/>
      <c r="M1" s="120"/>
      <c r="N1" s="120"/>
      <c r="O1" s="120"/>
      <c r="P1" s="121"/>
      <c r="Q1" s="118"/>
      <c r="R1" s="120"/>
      <c r="S1" s="120"/>
      <c r="T1" s="120"/>
      <c r="U1" s="122"/>
    </row>
    <row r="2" spans="1:21" ht="12.75">
      <c r="A2" s="91"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132</v>
      </c>
      <c r="T2" s="27" t="s">
        <v>15</v>
      </c>
      <c r="U2" s="27" t="s">
        <v>133</v>
      </c>
    </row>
    <row r="3" spans="1:21" ht="12.75">
      <c r="A3" s="5">
        <v>1</v>
      </c>
      <c r="B3" s="6" t="str">
        <f>Iulius!B27</f>
        <v>Saturday</v>
      </c>
      <c r="C3" s="59"/>
      <c r="D3" s="7"/>
      <c r="E3" s="8" t="s">
        <v>24</v>
      </c>
      <c r="F3" s="6" t="s">
        <v>18</v>
      </c>
      <c r="G3" s="140" t="s">
        <v>196</v>
      </c>
      <c r="H3" s="9">
        <f aca="true" t="shared" si="0" ref="H3:H33">(T3/2)+Q3-"12:00:00"</f>
        <v>12.06021624467935</v>
      </c>
      <c r="I3" s="9">
        <f aca="true" t="shared" si="1" ref="I3:I33">H3+((J3-H3)/2)</f>
        <v>6.169183006125878</v>
      </c>
      <c r="J3" s="9">
        <f aca="true" t="shared" si="2" ref="J3:J33">P3</f>
        <v>0.2781497675724071</v>
      </c>
      <c r="K3" s="9">
        <f aca="true" t="shared" si="3" ref="K3:K33">J3+((L3-J3)/2)</f>
        <v>0.41918300612587855</v>
      </c>
      <c r="L3" s="9">
        <f aca="true" t="shared" si="4" ref="L3:L33">(R3/2)+J3</f>
        <v>0.5602162446793499</v>
      </c>
      <c r="M3" s="9">
        <f aca="true" t="shared" si="5" ref="M3:M33">((N3-L3)/2)+L3</f>
        <v>0.7012494832328213</v>
      </c>
      <c r="N3" s="9">
        <f aca="true" t="shared" si="6" ref="N3:N33">Q3</f>
        <v>0.8422827217862926</v>
      </c>
      <c r="O3" s="9">
        <f aca="true" t="shared" si="7" ref="O3:O33">3*U3+N3</f>
        <v>0.9512494832328212</v>
      </c>
      <c r="P3" s="9">
        <f>sunrise(Location!$B$4,Location!$B$5,Location!$B$6,8,A3,Location!$B$7,IF(Location!$B$8="No",0,1))</f>
        <v>0.2781497675724071</v>
      </c>
      <c r="Q3" s="9">
        <f>sunset(Location!$B$4,Location!$B$5,Location!$B$6,8,A3,Location!$B$7,IF(Location!$B$8="No",0,1))</f>
        <v>0.8422827217862926</v>
      </c>
      <c r="R3" s="9">
        <f aca="true" t="shared" si="8" ref="R3:R33">Q3-P3</f>
        <v>0.5641329542138855</v>
      </c>
      <c r="S3" s="10">
        <f aca="true" t="shared" si="9" ref="S3:S33">R3/12</f>
        <v>0.047011079517823795</v>
      </c>
      <c r="T3" s="9">
        <f aca="true" t="shared" si="10" ref="T3:T33">(24-(Q3-P3))</f>
        <v>23.435867045786114</v>
      </c>
      <c r="U3" s="10">
        <f aca="true" t="shared" si="11" ref="U3:U33">"1:00:00"-S3+"1:00:00"</f>
        <v>0.036322253815509534</v>
      </c>
    </row>
    <row r="4" spans="1:21" ht="12.75">
      <c r="A4" s="5">
        <v>2</v>
      </c>
      <c r="B4" s="6" t="str">
        <f>Iulius!B28</f>
        <v>Sunday</v>
      </c>
      <c r="C4" s="59"/>
      <c r="D4" s="92" t="s">
        <v>72</v>
      </c>
      <c r="E4" s="8" t="s">
        <v>26</v>
      </c>
      <c r="F4" s="6" t="s">
        <v>93</v>
      </c>
      <c r="G4" s="138" t="s">
        <v>306</v>
      </c>
      <c r="H4" s="9">
        <f t="shared" si="0"/>
        <v>12.060164183809041</v>
      </c>
      <c r="I4" s="9">
        <f t="shared" si="1"/>
        <v>6.169362110623592</v>
      </c>
      <c r="J4" s="9">
        <f t="shared" si="2"/>
        <v>0.27856003743814156</v>
      </c>
      <c r="K4" s="9">
        <f t="shared" si="3"/>
        <v>0.4193621106235913</v>
      </c>
      <c r="L4" s="9">
        <f t="shared" si="4"/>
        <v>0.560164183809041</v>
      </c>
      <c r="M4" s="9">
        <f t="shared" si="5"/>
        <v>0.7009662569944908</v>
      </c>
      <c r="N4" s="9">
        <f t="shared" si="6"/>
        <v>0.8417683301799405</v>
      </c>
      <c r="O4" s="9">
        <f t="shared" si="7"/>
        <v>0.9509662569944908</v>
      </c>
      <c r="P4" s="9">
        <f>sunrise(Location!$B$4,Location!$B$5,Location!$B$6,8,A4,Location!$B$7,IF(Location!$B$8="No",0,1))</f>
        <v>0.27856003743814156</v>
      </c>
      <c r="Q4" s="9">
        <f>sunset(Location!$B$4,Location!$B$5,Location!$B$6,8,A4,Location!$B$7,IF(Location!$B$8="No",0,1))</f>
        <v>0.8417683301799405</v>
      </c>
      <c r="R4" s="9">
        <f t="shared" si="8"/>
        <v>0.563208292741799</v>
      </c>
      <c r="S4" s="10">
        <f t="shared" si="9"/>
        <v>0.04693402439514991</v>
      </c>
      <c r="T4" s="9">
        <f t="shared" si="10"/>
        <v>23.4367917072582</v>
      </c>
      <c r="U4" s="10">
        <f t="shared" si="11"/>
        <v>0.03639930893818342</v>
      </c>
    </row>
    <row r="5" spans="1:21" ht="12.75">
      <c r="A5" s="5">
        <v>3</v>
      </c>
      <c r="B5" s="6" t="str">
        <f>Iulius!B29</f>
        <v>Monday</v>
      </c>
      <c r="C5" s="59"/>
      <c r="D5" s="92" t="s">
        <v>75</v>
      </c>
      <c r="E5" s="8" t="s">
        <v>29</v>
      </c>
      <c r="F5" s="6" t="s">
        <v>94</v>
      </c>
      <c r="G5" s="136"/>
      <c r="H5" s="9">
        <f t="shared" si="0"/>
        <v>12.060105181481868</v>
      </c>
      <c r="I5" s="9">
        <f t="shared" si="1"/>
        <v>6.169537682503742</v>
      </c>
      <c r="J5" s="9">
        <f t="shared" si="2"/>
        <v>0.2789701835256159</v>
      </c>
      <c r="K5" s="9">
        <f t="shared" si="3"/>
        <v>0.4195376825037421</v>
      </c>
      <c r="L5" s="9">
        <f t="shared" si="4"/>
        <v>0.5601051814818683</v>
      </c>
      <c r="M5" s="9">
        <f t="shared" si="5"/>
        <v>0.7006726804599945</v>
      </c>
      <c r="N5" s="9">
        <f t="shared" si="6"/>
        <v>0.8412401794381208</v>
      </c>
      <c r="O5" s="9">
        <f t="shared" si="7"/>
        <v>0.9506726804599945</v>
      </c>
      <c r="P5" s="9">
        <f>sunrise(Location!$B$4,Location!$B$5,Location!$B$6,8,A5,Location!$B$7,IF(Location!$B$8="No",0,1))</f>
        <v>0.2789701835256159</v>
      </c>
      <c r="Q5" s="9">
        <f>sunset(Location!$B$4,Location!$B$5,Location!$B$6,8,A5,Location!$B$7,IF(Location!$B$8="No",0,1))</f>
        <v>0.8412401794381208</v>
      </c>
      <c r="R5" s="9">
        <f t="shared" si="8"/>
        <v>0.5622699959125048</v>
      </c>
      <c r="S5" s="10">
        <f t="shared" si="9"/>
        <v>0.046855832992708735</v>
      </c>
      <c r="T5" s="9">
        <f t="shared" si="10"/>
        <v>23.437730004087495</v>
      </c>
      <c r="U5" s="10">
        <f t="shared" si="11"/>
        <v>0.036477500340624594</v>
      </c>
    </row>
    <row r="6" spans="1:21" ht="12.75">
      <c r="A6" s="5">
        <v>4</v>
      </c>
      <c r="B6" s="6" t="str">
        <f>Iulius!B30</f>
        <v>Tuesday</v>
      </c>
      <c r="C6" s="59"/>
      <c r="D6" s="7"/>
      <c r="E6" s="8" t="s">
        <v>32</v>
      </c>
      <c r="F6" s="6" t="s">
        <v>27</v>
      </c>
      <c r="G6" s="136"/>
      <c r="H6" s="9">
        <f t="shared" si="0"/>
        <v>12.060039264089117</v>
      </c>
      <c r="I6" s="9">
        <f t="shared" si="1"/>
        <v>6.169709644950212</v>
      </c>
      <c r="J6" s="9">
        <f t="shared" si="2"/>
        <v>0.27938002581130733</v>
      </c>
      <c r="K6" s="9">
        <f t="shared" si="3"/>
        <v>0.4197096449502117</v>
      </c>
      <c r="L6" s="9">
        <f t="shared" si="4"/>
        <v>0.5600392640891161</v>
      </c>
      <c r="M6" s="9">
        <f t="shared" si="5"/>
        <v>0.7003688832280206</v>
      </c>
      <c r="N6" s="9">
        <f t="shared" si="6"/>
        <v>0.840698502366925</v>
      </c>
      <c r="O6" s="9">
        <f t="shared" si="7"/>
        <v>0.9503688832280206</v>
      </c>
      <c r="P6" s="9">
        <f>sunrise(Location!$B$4,Location!$B$5,Location!$B$6,8,A6,Location!$B$7,IF(Location!$B$8="No",0,1))</f>
        <v>0.27938002581130733</v>
      </c>
      <c r="Q6" s="9">
        <f>sunset(Location!$B$4,Location!$B$5,Location!$B$6,8,A6,Location!$B$7,IF(Location!$B$8="No",0,1))</f>
        <v>0.840698502366925</v>
      </c>
      <c r="R6" s="9">
        <f t="shared" si="8"/>
        <v>0.5613184765556176</v>
      </c>
      <c r="S6" s="10">
        <f t="shared" si="9"/>
        <v>0.046776539712968135</v>
      </c>
      <c r="T6" s="9">
        <f t="shared" si="10"/>
        <v>23.438681523444384</v>
      </c>
      <c r="U6" s="10">
        <f t="shared" si="11"/>
        <v>0.036556793620365194</v>
      </c>
    </row>
    <row r="7" spans="1:21" ht="12.75">
      <c r="A7" s="5">
        <v>5</v>
      </c>
      <c r="B7" s="6" t="str">
        <f>Iulius!B31</f>
        <v>Wednesday</v>
      </c>
      <c r="C7" s="59"/>
      <c r="D7" s="92" t="s">
        <v>20</v>
      </c>
      <c r="E7" s="8" t="s">
        <v>36</v>
      </c>
      <c r="F7" s="6" t="s">
        <v>30</v>
      </c>
      <c r="G7" s="136"/>
      <c r="H7" s="9">
        <f t="shared" si="0"/>
        <v>12.059966466473984</v>
      </c>
      <c r="I7" s="9">
        <f t="shared" si="1"/>
        <v>6.169877930869673</v>
      </c>
      <c r="J7" s="9">
        <f t="shared" si="2"/>
        <v>0.2797893952653621</v>
      </c>
      <c r="K7" s="9">
        <f t="shared" si="3"/>
        <v>0.41987793086967307</v>
      </c>
      <c r="L7" s="9">
        <f t="shared" si="4"/>
        <v>0.5599664664739841</v>
      </c>
      <c r="M7" s="9">
        <f t="shared" si="5"/>
        <v>0.700055002078295</v>
      </c>
      <c r="N7" s="9">
        <f t="shared" si="6"/>
        <v>0.840143537682606</v>
      </c>
      <c r="O7" s="9">
        <f t="shared" si="7"/>
        <v>0.950055002078295</v>
      </c>
      <c r="P7" s="9">
        <f>sunrise(Location!$B$4,Location!$B$5,Location!$B$6,8,A7,Location!$B$7,IF(Location!$B$8="No",0,1))</f>
        <v>0.2797893952653621</v>
      </c>
      <c r="Q7" s="9">
        <f>sunset(Location!$B$4,Location!$B$5,Location!$B$6,8,A7,Location!$B$7,IF(Location!$B$8="No",0,1))</f>
        <v>0.840143537682606</v>
      </c>
      <c r="R7" s="9">
        <f t="shared" si="8"/>
        <v>0.5603541424172438</v>
      </c>
      <c r="S7" s="10">
        <f t="shared" si="9"/>
        <v>0.046696178534770316</v>
      </c>
      <c r="T7" s="9">
        <f t="shared" si="10"/>
        <v>23.439645857582757</v>
      </c>
      <c r="U7" s="10">
        <f t="shared" si="11"/>
        <v>0.03663715479856301</v>
      </c>
    </row>
    <row r="8" spans="1:21" ht="12.75">
      <c r="A8" s="5">
        <v>6</v>
      </c>
      <c r="B8" s="6" t="str">
        <f>Iulius!B32</f>
        <v>Thursday</v>
      </c>
      <c r="C8" s="59"/>
      <c r="D8" s="7"/>
      <c r="E8" s="8" t="s">
        <v>17</v>
      </c>
      <c r="F8" s="6" t="s">
        <v>95</v>
      </c>
      <c r="G8" s="48" t="s">
        <v>141</v>
      </c>
      <c r="H8" s="9">
        <f t="shared" si="0"/>
        <v>12.059886831765814</v>
      </c>
      <c r="I8" s="9">
        <f t="shared" si="1"/>
        <v>6.170042482811902</v>
      </c>
      <c r="J8" s="9">
        <f t="shared" si="2"/>
        <v>0.28019813385799075</v>
      </c>
      <c r="K8" s="9">
        <f t="shared" si="3"/>
        <v>0.4200424828119024</v>
      </c>
      <c r="L8" s="9">
        <f t="shared" si="4"/>
        <v>0.559886831765814</v>
      </c>
      <c r="M8" s="9">
        <f t="shared" si="5"/>
        <v>0.6997311807197256</v>
      </c>
      <c r="N8" s="9">
        <f t="shared" si="6"/>
        <v>0.8395755296736372</v>
      </c>
      <c r="O8" s="9">
        <f t="shared" si="7"/>
        <v>0.9497311807197256</v>
      </c>
      <c r="P8" s="9">
        <f>sunrise(Location!$B$4,Location!$B$5,Location!$B$6,8,A8,Location!$B$7,IF(Location!$B$8="No",0,1))</f>
        <v>0.28019813385799075</v>
      </c>
      <c r="Q8" s="9">
        <f>sunset(Location!$B$4,Location!$B$5,Location!$B$6,8,A8,Location!$B$7,IF(Location!$B$8="No",0,1))</f>
        <v>0.8395755296736372</v>
      </c>
      <c r="R8" s="9">
        <f t="shared" si="8"/>
        <v>0.5593773958156465</v>
      </c>
      <c r="S8" s="10">
        <f t="shared" si="9"/>
        <v>0.046614782984637206</v>
      </c>
      <c r="T8" s="9">
        <f t="shared" si="10"/>
        <v>23.440622604184355</v>
      </c>
      <c r="U8" s="10">
        <f t="shared" si="11"/>
        <v>0.03671855034869612</v>
      </c>
    </row>
    <row r="9" spans="1:21" ht="12.75">
      <c r="A9" s="5">
        <v>7</v>
      </c>
      <c r="B9" s="6" t="str">
        <f>Iulius!B33</f>
        <v>Friday</v>
      </c>
      <c r="C9" s="59"/>
      <c r="D9" s="92" t="s">
        <v>23</v>
      </c>
      <c r="E9" s="8" t="s">
        <v>21</v>
      </c>
      <c r="F9" s="6" t="s">
        <v>96</v>
      </c>
      <c r="G9" s="136"/>
      <c r="H9" s="9">
        <f t="shared" si="0"/>
        <v>12.059800411204987</v>
      </c>
      <c r="I9" s="9">
        <f t="shared" si="1"/>
        <v>6.170203252873376</v>
      </c>
      <c r="J9" s="9">
        <f t="shared" si="2"/>
        <v>0.2806060945417646</v>
      </c>
      <c r="K9" s="9">
        <f t="shared" si="3"/>
        <v>0.42020325287337623</v>
      </c>
      <c r="L9" s="9">
        <f t="shared" si="4"/>
        <v>0.5598004112049879</v>
      </c>
      <c r="M9" s="9">
        <f t="shared" si="5"/>
        <v>0.6993975695365995</v>
      </c>
      <c r="N9" s="9">
        <f t="shared" si="6"/>
        <v>0.838994727868211</v>
      </c>
      <c r="O9" s="9">
        <f t="shared" si="7"/>
        <v>0.9493975695365995</v>
      </c>
      <c r="P9" s="9">
        <f>sunrise(Location!$B$4,Location!$B$5,Location!$B$6,8,A9,Location!$B$7,IF(Location!$B$8="No",0,1))</f>
        <v>0.2806060945417646</v>
      </c>
      <c r="Q9" s="9">
        <f>sunset(Location!$B$4,Location!$B$5,Location!$B$6,8,A9,Location!$B$7,IF(Location!$B$8="No",0,1))</f>
        <v>0.838994727868211</v>
      </c>
      <c r="R9" s="9">
        <f t="shared" si="8"/>
        <v>0.5583886333264465</v>
      </c>
      <c r="S9" s="10">
        <f t="shared" si="9"/>
        <v>0.046532386110537206</v>
      </c>
      <c r="T9" s="9">
        <f t="shared" si="10"/>
        <v>23.441611366673552</v>
      </c>
      <c r="U9" s="10">
        <f t="shared" si="11"/>
        <v>0.03680094722279612</v>
      </c>
    </row>
    <row r="10" spans="1:21" ht="12.75">
      <c r="A10" s="5">
        <v>8</v>
      </c>
      <c r="B10" s="6" t="str">
        <f aca="true" t="shared" si="12" ref="B10:B16">B3</f>
        <v>Saturday</v>
      </c>
      <c r="C10" s="59"/>
      <c r="D10" s="92" t="s">
        <v>28</v>
      </c>
      <c r="E10" s="8" t="s">
        <v>24</v>
      </c>
      <c r="F10" s="6" t="s">
        <v>97</v>
      </c>
      <c r="G10" s="140"/>
      <c r="H10" s="9">
        <f t="shared" si="0"/>
        <v>12.059707263960167</v>
      </c>
      <c r="I10" s="9">
        <f t="shared" si="1"/>
        <v>6.1703602025844475</v>
      </c>
      <c r="J10" s="9">
        <f t="shared" si="2"/>
        <v>0.2810131412087272</v>
      </c>
      <c r="K10" s="9">
        <f t="shared" si="3"/>
        <v>0.4203602025844468</v>
      </c>
      <c r="L10" s="9">
        <f t="shared" si="4"/>
        <v>0.5597072639601663</v>
      </c>
      <c r="M10" s="9">
        <f t="shared" si="5"/>
        <v>0.6990543253358859</v>
      </c>
      <c r="N10" s="9">
        <f t="shared" si="6"/>
        <v>0.8384013867116055</v>
      </c>
      <c r="O10" s="9">
        <f t="shared" si="7"/>
        <v>0.9490543253358859</v>
      </c>
      <c r="P10" s="9">
        <f>sunrise(Location!$B$4,Location!$B$5,Location!$B$6,8,A10,Location!$B$7,IF(Location!$B$8="No",0,1))</f>
        <v>0.2810131412087272</v>
      </c>
      <c r="Q10" s="9">
        <f>sunset(Location!$B$4,Location!$B$5,Location!$B$6,8,A10,Location!$B$7,IF(Location!$B$8="No",0,1))</f>
        <v>0.8384013867116055</v>
      </c>
      <c r="R10" s="9">
        <f t="shared" si="8"/>
        <v>0.5573882455028782</v>
      </c>
      <c r="S10" s="10">
        <f t="shared" si="9"/>
        <v>0.04644902045857319</v>
      </c>
      <c r="T10" s="9">
        <f t="shared" si="10"/>
        <v>23.442611754497122</v>
      </c>
      <c r="U10" s="10">
        <f t="shared" si="11"/>
        <v>0.03688431287476014</v>
      </c>
    </row>
    <row r="11" spans="1:21" ht="12.75">
      <c r="A11" s="5">
        <v>9</v>
      </c>
      <c r="B11" s="6" t="str">
        <f t="shared" si="12"/>
        <v>Sunday</v>
      </c>
      <c r="C11" s="59"/>
      <c r="D11" s="7"/>
      <c r="E11" s="8" t="s">
        <v>26</v>
      </c>
      <c r="F11" s="6" t="s">
        <v>98</v>
      </c>
      <c r="G11" s="138" t="s">
        <v>307</v>
      </c>
      <c r="H11" s="9">
        <f t="shared" si="0"/>
        <v>12.05960745693764</v>
      </c>
      <c r="I11" s="9">
        <f t="shared" si="1"/>
        <v>6.17051330278221</v>
      </c>
      <c r="J11" s="9">
        <f t="shared" si="2"/>
        <v>0.2814191486267794</v>
      </c>
      <c r="K11" s="9">
        <f t="shared" si="3"/>
        <v>0.4205133027822099</v>
      </c>
      <c r="L11" s="9">
        <f t="shared" si="4"/>
        <v>0.5596074569376404</v>
      </c>
      <c r="M11" s="9">
        <f t="shared" si="5"/>
        <v>0.6987016110930708</v>
      </c>
      <c r="N11" s="9">
        <f t="shared" si="6"/>
        <v>0.8377957652485013</v>
      </c>
      <c r="O11" s="9">
        <f t="shared" si="7"/>
        <v>0.9487016110930708</v>
      </c>
      <c r="P11" s="9">
        <f>sunrise(Location!$B$4,Location!$B$5,Location!$B$6,8,A11,Location!$B$7,IF(Location!$B$8="No",0,1))</f>
        <v>0.2814191486267794</v>
      </c>
      <c r="Q11" s="9">
        <f>sunset(Location!$B$4,Location!$B$5,Location!$B$6,8,A11,Location!$B$7,IF(Location!$B$8="No",0,1))</f>
        <v>0.8377957652485013</v>
      </c>
      <c r="R11" s="9">
        <f t="shared" si="8"/>
        <v>0.5563766166217219</v>
      </c>
      <c r="S11" s="10">
        <f t="shared" si="9"/>
        <v>0.04636471805181016</v>
      </c>
      <c r="T11" s="9">
        <f t="shared" si="10"/>
        <v>23.443623383378277</v>
      </c>
      <c r="U11" s="10">
        <f t="shared" si="11"/>
        <v>0.03696861528152317</v>
      </c>
    </row>
    <row r="12" spans="1:21" ht="12.75">
      <c r="A12" s="5">
        <v>10</v>
      </c>
      <c r="B12" s="6" t="str">
        <f t="shared" si="12"/>
        <v>Monday</v>
      </c>
      <c r="C12" s="59"/>
      <c r="D12" s="92" t="s">
        <v>35</v>
      </c>
      <c r="E12" s="8" t="s">
        <v>29</v>
      </c>
      <c r="F12" s="6" t="s">
        <v>99</v>
      </c>
      <c r="G12" s="136"/>
      <c r="H12" s="9">
        <f t="shared" si="0"/>
        <v>12.059501064583756</v>
      </c>
      <c r="I12" s="9">
        <f t="shared" si="1"/>
        <v>6.170662533468107</v>
      </c>
      <c r="J12" s="9">
        <f t="shared" si="2"/>
        <v>0.2818240023524588</v>
      </c>
      <c r="K12" s="9">
        <f t="shared" si="3"/>
        <v>0.4206625334681072</v>
      </c>
      <c r="L12" s="9">
        <f t="shared" si="4"/>
        <v>0.5595010645837557</v>
      </c>
      <c r="M12" s="9">
        <f t="shared" si="5"/>
        <v>0.6983395956994042</v>
      </c>
      <c r="N12" s="9">
        <f t="shared" si="6"/>
        <v>0.8371781268150527</v>
      </c>
      <c r="O12" s="9">
        <f t="shared" si="7"/>
        <v>0.9483395956994042</v>
      </c>
      <c r="P12" s="9">
        <f>sunrise(Location!$B$4,Location!$B$5,Location!$B$6,8,A12,Location!$B$7,IF(Location!$B$8="No",0,1))</f>
        <v>0.2818240023524588</v>
      </c>
      <c r="Q12" s="9">
        <f>sunset(Location!$B$4,Location!$B$5,Location!$B$6,8,A12,Location!$B$7,IF(Location!$B$8="No",0,1))</f>
        <v>0.8371781268150527</v>
      </c>
      <c r="R12" s="9">
        <f t="shared" si="8"/>
        <v>0.5553541244625939</v>
      </c>
      <c r="S12" s="10">
        <f t="shared" si="9"/>
        <v>0.046279510371882826</v>
      </c>
      <c r="T12" s="9">
        <f t="shared" si="10"/>
        <v>23.444645875537407</v>
      </c>
      <c r="U12" s="10">
        <f t="shared" si="11"/>
        <v>0.0370538229614505</v>
      </c>
    </row>
    <row r="13" spans="1:21" ht="12.75">
      <c r="A13" s="5">
        <v>11</v>
      </c>
      <c r="B13" s="6" t="str">
        <f t="shared" si="12"/>
        <v>Tuesday</v>
      </c>
      <c r="C13" s="59"/>
      <c r="D13" s="92" t="s">
        <v>38</v>
      </c>
      <c r="E13" s="8" t="s">
        <v>32</v>
      </c>
      <c r="F13" s="6" t="s">
        <v>101</v>
      </c>
      <c r="G13" s="136"/>
      <c r="H13" s="9">
        <f t="shared" si="0"/>
        <v>12.059388168683071</v>
      </c>
      <c r="I13" s="9">
        <f t="shared" si="1"/>
        <v>6.1708078836541524</v>
      </c>
      <c r="J13" s="9">
        <f t="shared" si="2"/>
        <v>0.2822275986252332</v>
      </c>
      <c r="K13" s="9">
        <f t="shared" si="3"/>
        <v>0.42080788365415156</v>
      </c>
      <c r="L13" s="9">
        <f t="shared" si="4"/>
        <v>0.55938816868307</v>
      </c>
      <c r="M13" s="9">
        <f t="shared" si="5"/>
        <v>0.6979684537119883</v>
      </c>
      <c r="N13" s="9">
        <f t="shared" si="6"/>
        <v>0.8365487387409066</v>
      </c>
      <c r="O13" s="9">
        <f t="shared" si="7"/>
        <v>0.9479684537119883</v>
      </c>
      <c r="P13" s="9">
        <f>sunrise(Location!$B$4,Location!$B$5,Location!$B$6,8,A13,Location!$B$7,IF(Location!$B$8="No",0,1))</f>
        <v>0.2822275986252332</v>
      </c>
      <c r="Q13" s="9">
        <f>sunset(Location!$B$4,Location!$B$5,Location!$B$6,8,A13,Location!$B$7,IF(Location!$B$8="No",0,1))</f>
        <v>0.8365487387409066</v>
      </c>
      <c r="R13" s="9">
        <f t="shared" si="8"/>
        <v>0.5543211401156733</v>
      </c>
      <c r="S13" s="10">
        <f t="shared" si="9"/>
        <v>0.04619342834297278</v>
      </c>
      <c r="T13" s="9">
        <f t="shared" si="10"/>
        <v>23.445678859884328</v>
      </c>
      <c r="U13" s="10">
        <f t="shared" si="11"/>
        <v>0.03713990499036055</v>
      </c>
    </row>
    <row r="14" spans="1:21" ht="12.75">
      <c r="A14" s="5">
        <v>12</v>
      </c>
      <c r="B14" s="6" t="str">
        <f t="shared" si="12"/>
        <v>Wednesday</v>
      </c>
      <c r="C14" s="59"/>
      <c r="D14" s="7"/>
      <c r="E14" s="8" t="s">
        <v>36</v>
      </c>
      <c r="F14" s="6" t="s">
        <v>46</v>
      </c>
      <c r="G14" s="136"/>
      <c r="H14" s="9">
        <f t="shared" si="0"/>
        <v>12.059268858150467</v>
      </c>
      <c r="I14" s="9">
        <f t="shared" si="1"/>
        <v>6.170949351196607</v>
      </c>
      <c r="J14" s="9">
        <f t="shared" si="2"/>
        <v>0.28262984424274745</v>
      </c>
      <c r="K14" s="9">
        <f t="shared" si="3"/>
        <v>0.42094935119660715</v>
      </c>
      <c r="L14" s="9">
        <f t="shared" si="4"/>
        <v>0.5592688581504668</v>
      </c>
      <c r="M14" s="9">
        <f t="shared" si="5"/>
        <v>0.6975883651043264</v>
      </c>
      <c r="N14" s="9">
        <f t="shared" si="6"/>
        <v>0.835907872058186</v>
      </c>
      <c r="O14" s="9">
        <f t="shared" si="7"/>
        <v>0.9475883651043263</v>
      </c>
      <c r="P14" s="9">
        <f>sunrise(Location!$B$4,Location!$B$5,Location!$B$6,8,A14,Location!$B$7,IF(Location!$B$8="No",0,1))</f>
        <v>0.28262984424274745</v>
      </c>
      <c r="Q14" s="9">
        <f>sunset(Location!$B$4,Location!$B$5,Location!$B$6,8,A14,Location!$B$7,IF(Location!$B$8="No",0,1))</f>
        <v>0.835907872058186</v>
      </c>
      <c r="R14" s="9">
        <f t="shared" si="8"/>
        <v>0.5532780278154386</v>
      </c>
      <c r="S14" s="10">
        <f t="shared" si="9"/>
        <v>0.04610650231795321</v>
      </c>
      <c r="T14" s="9">
        <f t="shared" si="10"/>
        <v>23.446721972184562</v>
      </c>
      <c r="U14" s="10">
        <f t="shared" si="11"/>
        <v>0.037226831015380116</v>
      </c>
    </row>
    <row r="15" spans="1:21" ht="12.75">
      <c r="A15" s="5">
        <v>13</v>
      </c>
      <c r="B15" s="6" t="str">
        <f t="shared" si="12"/>
        <v>Thursday</v>
      </c>
      <c r="C15" s="59"/>
      <c r="D15" s="92" t="s">
        <v>40</v>
      </c>
      <c r="E15" s="8" t="s">
        <v>17</v>
      </c>
      <c r="F15" s="6" t="s">
        <v>47</v>
      </c>
      <c r="G15" s="136"/>
      <c r="H15" s="9">
        <f t="shared" si="0"/>
        <v>12.059143228821316</v>
      </c>
      <c r="I15" s="9">
        <f t="shared" si="1"/>
        <v>6.171086942619953</v>
      </c>
      <c r="J15" s="9">
        <f t="shared" si="2"/>
        <v>0.28303065641858893</v>
      </c>
      <c r="K15" s="9">
        <f t="shared" si="3"/>
        <v>0.4210869426199525</v>
      </c>
      <c r="L15" s="9">
        <f t="shared" si="4"/>
        <v>0.5591432288213161</v>
      </c>
      <c r="M15" s="9">
        <f t="shared" si="5"/>
        <v>0.6971995150226796</v>
      </c>
      <c r="N15" s="9">
        <f t="shared" si="6"/>
        <v>0.8352558012240432</v>
      </c>
      <c r="O15" s="9">
        <f t="shared" si="7"/>
        <v>0.9471995150226796</v>
      </c>
      <c r="P15" s="9">
        <f>sunrise(Location!$B$4,Location!$B$5,Location!$B$6,8,A15,Location!$B$7,IF(Location!$B$8="No",0,1))</f>
        <v>0.28303065641858893</v>
      </c>
      <c r="Q15" s="9">
        <f>sunset(Location!$B$4,Location!$B$5,Location!$B$6,8,A15,Location!$B$7,IF(Location!$B$8="No",0,1))</f>
        <v>0.8352558012240432</v>
      </c>
      <c r="R15" s="9">
        <f t="shared" si="8"/>
        <v>0.5522251448054543</v>
      </c>
      <c r="S15" s="10">
        <f t="shared" si="9"/>
        <v>0.04601876206712119</v>
      </c>
      <c r="T15" s="9">
        <f t="shared" si="10"/>
        <v>23.447774855194545</v>
      </c>
      <c r="U15" s="10">
        <f t="shared" si="11"/>
        <v>0.03731457126621214</v>
      </c>
    </row>
    <row r="16" spans="1:21" ht="12.75">
      <c r="A16" s="5">
        <v>14</v>
      </c>
      <c r="B16" s="6" t="str">
        <f t="shared" si="12"/>
        <v>Friday</v>
      </c>
      <c r="C16" s="59"/>
      <c r="D16" s="92" t="s">
        <v>42</v>
      </c>
      <c r="E16" s="8" t="s">
        <v>21</v>
      </c>
      <c r="F16" s="6" t="s">
        <v>142</v>
      </c>
      <c r="G16" s="136"/>
      <c r="H16" s="9">
        <f t="shared" si="0"/>
        <v>12.0590113832376</v>
      </c>
      <c r="I16" s="9">
        <f t="shared" si="1"/>
        <v>6.171220672931143</v>
      </c>
      <c r="J16" s="9">
        <f t="shared" si="2"/>
        <v>0.2834299626246861</v>
      </c>
      <c r="K16" s="9">
        <f t="shared" si="3"/>
        <v>0.4212206729311426</v>
      </c>
      <c r="L16" s="9">
        <f t="shared" si="4"/>
        <v>0.5590113832375991</v>
      </c>
      <c r="M16" s="9">
        <f t="shared" si="5"/>
        <v>0.6968020935440558</v>
      </c>
      <c r="N16" s="9">
        <f t="shared" si="6"/>
        <v>0.8345928038505123</v>
      </c>
      <c r="O16" s="9">
        <f t="shared" si="7"/>
        <v>0.9468020935440558</v>
      </c>
      <c r="P16" s="9">
        <f>sunrise(Location!$B$4,Location!$B$5,Location!$B$6,8,A16,Location!$B$7,IF(Location!$B$8="No",0,1))</f>
        <v>0.2834299626246861</v>
      </c>
      <c r="Q16" s="9">
        <f>sunset(Location!$B$4,Location!$B$5,Location!$B$6,8,A16,Location!$B$7,IF(Location!$B$8="No",0,1))</f>
        <v>0.8345928038505123</v>
      </c>
      <c r="R16" s="9">
        <f t="shared" si="8"/>
        <v>0.5511628412258262</v>
      </c>
      <c r="S16" s="10">
        <f t="shared" si="9"/>
        <v>0.04593023676881885</v>
      </c>
      <c r="T16" s="9">
        <f t="shared" si="10"/>
        <v>23.448837158774175</v>
      </c>
      <c r="U16" s="10">
        <f t="shared" si="11"/>
        <v>0.03740309656451448</v>
      </c>
    </row>
    <row r="17" spans="1:21" ht="12.75">
      <c r="A17" s="5">
        <v>15</v>
      </c>
      <c r="B17" s="6" t="str">
        <f aca="true" t="shared" si="13" ref="B17:B23">B3</f>
        <v>Saturday</v>
      </c>
      <c r="C17" s="59"/>
      <c r="D17" s="7"/>
      <c r="E17" s="8" t="s">
        <v>24</v>
      </c>
      <c r="F17" s="6" t="s">
        <v>123</v>
      </c>
      <c r="G17" s="45" t="s">
        <v>224</v>
      </c>
      <c r="H17" s="9">
        <f t="shared" si="0"/>
        <v>12.058873430432637</v>
      </c>
      <c r="I17" s="9">
        <f t="shared" si="1"/>
        <v>6.171350565425425</v>
      </c>
      <c r="J17" s="9">
        <f t="shared" si="2"/>
        <v>0.2838277004182129</v>
      </c>
      <c r="K17" s="9">
        <f t="shared" si="3"/>
        <v>0.4213505654254249</v>
      </c>
      <c r="L17" s="9">
        <f t="shared" si="4"/>
        <v>0.5588734304326369</v>
      </c>
      <c r="M17" s="9">
        <f t="shared" si="5"/>
        <v>0.6963962954398489</v>
      </c>
      <c r="N17" s="9">
        <f t="shared" si="6"/>
        <v>0.8339191604470609</v>
      </c>
      <c r="O17" s="9">
        <f t="shared" si="7"/>
        <v>0.9463962954398489</v>
      </c>
      <c r="P17" s="9">
        <f>sunrise(Location!$B$4,Location!$B$5,Location!$B$6,8,A17,Location!$B$7,IF(Location!$B$8="No",0,1))</f>
        <v>0.2838277004182129</v>
      </c>
      <c r="Q17" s="9">
        <f>sunset(Location!$B$4,Location!$B$5,Location!$B$6,8,A17,Location!$B$7,IF(Location!$B$8="No",0,1))</f>
        <v>0.8339191604470609</v>
      </c>
      <c r="R17" s="9">
        <f t="shared" si="8"/>
        <v>0.550091460028848</v>
      </c>
      <c r="S17" s="10">
        <f t="shared" si="9"/>
        <v>0.045840955002404</v>
      </c>
      <c r="T17" s="9">
        <f t="shared" si="10"/>
        <v>23.44990853997115</v>
      </c>
      <c r="U17" s="10">
        <f t="shared" si="11"/>
        <v>0.037492378330929325</v>
      </c>
    </row>
    <row r="18" spans="1:21" ht="12.75">
      <c r="A18" s="5">
        <v>16</v>
      </c>
      <c r="B18" s="6" t="str">
        <f t="shared" si="13"/>
        <v>Sunday</v>
      </c>
      <c r="C18" s="59"/>
      <c r="D18" s="92" t="s">
        <v>45</v>
      </c>
      <c r="E18" s="8" t="s">
        <v>26</v>
      </c>
      <c r="F18" s="6" t="s">
        <v>102</v>
      </c>
      <c r="G18" s="138" t="s">
        <v>308</v>
      </c>
      <c r="H18" s="9">
        <f t="shared" si="0"/>
        <v>12.058729485714998</v>
      </c>
      <c r="I18" s="9">
        <f t="shared" si="1"/>
        <v>6.171476651485243</v>
      </c>
      <c r="J18" s="9">
        <f t="shared" si="2"/>
        <v>0.28422381725548773</v>
      </c>
      <c r="K18" s="9">
        <f t="shared" si="3"/>
        <v>0.4214766514852439</v>
      </c>
      <c r="L18" s="9">
        <f t="shared" si="4"/>
        <v>0.558729485715</v>
      </c>
      <c r="M18" s="9">
        <f t="shared" si="5"/>
        <v>0.6959823199447561</v>
      </c>
      <c r="N18" s="9">
        <f t="shared" si="6"/>
        <v>0.8332351541745123</v>
      </c>
      <c r="O18" s="9">
        <f t="shared" si="7"/>
        <v>0.9459823199447561</v>
      </c>
      <c r="P18" s="9">
        <f>sunrise(Location!$B$4,Location!$B$5,Location!$B$6,8,A18,Location!$B$7,IF(Location!$B$8="No",0,1))</f>
        <v>0.28422381725548773</v>
      </c>
      <c r="Q18" s="9">
        <f>sunset(Location!$B$4,Location!$B$5,Location!$B$6,8,A18,Location!$B$7,IF(Location!$B$8="No",0,1))</f>
        <v>0.8332351541745123</v>
      </c>
      <c r="R18" s="9">
        <f t="shared" si="8"/>
        <v>0.5490113369190246</v>
      </c>
      <c r="S18" s="10">
        <f t="shared" si="9"/>
        <v>0.04575094474325205</v>
      </c>
      <c r="T18" s="9">
        <f t="shared" si="10"/>
        <v>23.450988663080974</v>
      </c>
      <c r="U18" s="10">
        <f t="shared" si="11"/>
        <v>0.03758238859008128</v>
      </c>
    </row>
    <row r="19" spans="1:21" ht="12.75">
      <c r="A19" s="5">
        <v>17</v>
      </c>
      <c r="B19" s="6" t="str">
        <f t="shared" si="13"/>
        <v>Monday</v>
      </c>
      <c r="C19" s="59"/>
      <c r="D19" s="7"/>
      <c r="E19" s="8" t="s">
        <v>29</v>
      </c>
      <c r="F19" s="6" t="s">
        <v>103</v>
      </c>
      <c r="G19" s="136"/>
      <c r="H19" s="9">
        <f t="shared" si="0"/>
        <v>12.058579670452245</v>
      </c>
      <c r="I19" s="9">
        <f t="shared" si="1"/>
        <v>6.171598970373682</v>
      </c>
      <c r="J19" s="9">
        <f t="shared" si="2"/>
        <v>0.28461827029511966</v>
      </c>
      <c r="K19" s="9">
        <f t="shared" si="3"/>
        <v>0.4215989703736823</v>
      </c>
      <c r="L19" s="9">
        <f t="shared" si="4"/>
        <v>0.558579670452245</v>
      </c>
      <c r="M19" s="9">
        <f t="shared" si="5"/>
        <v>0.6955603705308078</v>
      </c>
      <c r="N19" s="9">
        <f t="shared" si="6"/>
        <v>0.8325410706093704</v>
      </c>
      <c r="O19" s="9">
        <f t="shared" si="7"/>
        <v>0.9455603705308078</v>
      </c>
      <c r="P19" s="9">
        <f>sunrise(Location!$B$4,Location!$B$5,Location!$B$6,8,A19,Location!$B$7,IF(Location!$B$8="No",0,1))</f>
        <v>0.28461827029511966</v>
      </c>
      <c r="Q19" s="9">
        <f>sunset(Location!$B$4,Location!$B$5,Location!$B$6,8,A19,Location!$B$7,IF(Location!$B$8="No",0,1))</f>
        <v>0.8325410706093704</v>
      </c>
      <c r="R19" s="9">
        <f t="shared" si="8"/>
        <v>0.5479228003142508</v>
      </c>
      <c r="S19" s="10">
        <f t="shared" si="9"/>
        <v>0.0456602333595209</v>
      </c>
      <c r="T19" s="9">
        <f t="shared" si="10"/>
        <v>23.45207719968575</v>
      </c>
      <c r="U19" s="10">
        <f t="shared" si="11"/>
        <v>0.03767309997381243</v>
      </c>
    </row>
    <row r="20" spans="1:21" ht="12.75">
      <c r="A20" s="5">
        <v>18</v>
      </c>
      <c r="B20" s="6" t="str">
        <f t="shared" si="13"/>
        <v>Tuesday</v>
      </c>
      <c r="C20" s="59"/>
      <c r="D20" s="92" t="s">
        <v>48</v>
      </c>
      <c r="E20" s="8" t="s">
        <v>32</v>
      </c>
      <c r="F20" s="6" t="s">
        <v>105</v>
      </c>
      <c r="G20" s="136"/>
      <c r="H20" s="9">
        <f t="shared" si="0"/>
        <v>12.05842411185544</v>
      </c>
      <c r="I20" s="9">
        <f t="shared" si="1"/>
        <v>6.171717569022643</v>
      </c>
      <c r="J20" s="9">
        <f t="shared" si="2"/>
        <v>0.2850110261898482</v>
      </c>
      <c r="K20" s="9">
        <f t="shared" si="3"/>
        <v>0.4217175690226433</v>
      </c>
      <c r="L20" s="9">
        <f t="shared" si="4"/>
        <v>0.5584241118554384</v>
      </c>
      <c r="M20" s="9">
        <f t="shared" si="5"/>
        <v>0.6951306546882334</v>
      </c>
      <c r="N20" s="9">
        <f t="shared" si="6"/>
        <v>0.8318371975210286</v>
      </c>
      <c r="O20" s="9">
        <f t="shared" si="7"/>
        <v>0.9451306546882334</v>
      </c>
      <c r="P20" s="9">
        <f>sunrise(Location!$B$4,Location!$B$5,Location!$B$6,8,A20,Location!$B$7,IF(Location!$B$8="No",0,1))</f>
        <v>0.2850110261898482</v>
      </c>
      <c r="Q20" s="9">
        <f>sunset(Location!$B$4,Location!$B$5,Location!$B$6,8,A20,Location!$B$7,IF(Location!$B$8="No",0,1))</f>
        <v>0.8318371975210286</v>
      </c>
      <c r="R20" s="9">
        <f t="shared" si="8"/>
        <v>0.5468261713311804</v>
      </c>
      <c r="S20" s="10">
        <f t="shared" si="9"/>
        <v>0.0455688476109317</v>
      </c>
      <c r="T20" s="9">
        <f t="shared" si="10"/>
        <v>23.45317382866882</v>
      </c>
      <c r="U20" s="10">
        <f t="shared" si="11"/>
        <v>0.03776448572240163</v>
      </c>
    </row>
    <row r="21" spans="1:21" ht="12.75">
      <c r="A21" s="5">
        <v>19</v>
      </c>
      <c r="B21" s="6" t="str">
        <f t="shared" si="13"/>
        <v>Wednesday</v>
      </c>
      <c r="C21" s="59"/>
      <c r="D21" s="92" t="s">
        <v>50</v>
      </c>
      <c r="E21" s="8" t="s">
        <v>36</v>
      </c>
      <c r="F21" s="6" t="s">
        <v>107</v>
      </c>
      <c r="G21" s="136"/>
      <c r="H21" s="9">
        <f t="shared" si="0"/>
        <v>12.058262942764777</v>
      </c>
      <c r="I21" s="9">
        <f t="shared" si="1"/>
        <v>6.171832501816219</v>
      </c>
      <c r="J21" s="9">
        <f t="shared" si="2"/>
        <v>0.2854020608676601</v>
      </c>
      <c r="K21" s="9">
        <f t="shared" si="3"/>
        <v>0.4218325018162191</v>
      </c>
      <c r="L21" s="9">
        <f t="shared" si="4"/>
        <v>0.5582629427647781</v>
      </c>
      <c r="M21" s="9">
        <f t="shared" si="5"/>
        <v>0.6946933837133371</v>
      </c>
      <c r="N21" s="9">
        <f t="shared" si="6"/>
        <v>0.8311238246618962</v>
      </c>
      <c r="O21" s="9">
        <f t="shared" si="7"/>
        <v>0.9446933837133371</v>
      </c>
      <c r="P21" s="9">
        <f>sunrise(Location!$B$4,Location!$B$5,Location!$B$6,8,A21,Location!$B$7,IF(Location!$B$8="No",0,1))</f>
        <v>0.2854020608676601</v>
      </c>
      <c r="Q21" s="9">
        <f>sunset(Location!$B$4,Location!$B$5,Location!$B$6,8,A21,Location!$B$7,IF(Location!$B$8="No",0,1))</f>
        <v>0.8311238246618962</v>
      </c>
      <c r="R21" s="9">
        <f t="shared" si="8"/>
        <v>0.545721763794236</v>
      </c>
      <c r="S21" s="10">
        <f t="shared" si="9"/>
        <v>0.045476813649519665</v>
      </c>
      <c r="T21" s="9">
        <f t="shared" si="10"/>
        <v>23.454278236205763</v>
      </c>
      <c r="U21" s="10">
        <f t="shared" si="11"/>
        <v>0.037856519683813664</v>
      </c>
    </row>
    <row r="22" spans="1:21" ht="12.75">
      <c r="A22" s="5">
        <v>20</v>
      </c>
      <c r="B22" s="6" t="str">
        <f t="shared" si="13"/>
        <v>Thursday</v>
      </c>
      <c r="C22" s="59"/>
      <c r="D22" s="7"/>
      <c r="E22" s="8" t="s">
        <v>17</v>
      </c>
      <c r="F22" s="6" t="s">
        <v>108</v>
      </c>
      <c r="G22" s="48" t="s">
        <v>143</v>
      </c>
      <c r="H22" s="9">
        <f t="shared" si="0"/>
        <v>12.058096301438162</v>
      </c>
      <c r="I22" s="9">
        <f t="shared" si="1"/>
        <v>6.1719438303730705</v>
      </c>
      <c r="J22" s="9">
        <f t="shared" si="2"/>
        <v>0.28579135930797933</v>
      </c>
      <c r="K22" s="9">
        <f t="shared" si="3"/>
        <v>0.4219438303730706</v>
      </c>
      <c r="L22" s="9">
        <f t="shared" si="4"/>
        <v>0.5580963014381619</v>
      </c>
      <c r="M22" s="9">
        <f t="shared" si="5"/>
        <v>0.6942487725032533</v>
      </c>
      <c r="N22" s="9">
        <f t="shared" si="6"/>
        <v>0.8304012435683447</v>
      </c>
      <c r="O22" s="9">
        <f t="shared" si="7"/>
        <v>0.9442487725032533</v>
      </c>
      <c r="P22" s="9">
        <f>sunrise(Location!$B$4,Location!$B$5,Location!$B$6,8,A22,Location!$B$7,IF(Location!$B$8="No",0,1))</f>
        <v>0.28579135930797933</v>
      </c>
      <c r="Q22" s="9">
        <f>sunset(Location!$B$4,Location!$B$5,Location!$B$6,8,A22,Location!$B$7,IF(Location!$B$8="No",0,1))</f>
        <v>0.8304012435683447</v>
      </c>
      <c r="R22" s="9">
        <f t="shared" si="8"/>
        <v>0.5446098842603653</v>
      </c>
      <c r="S22" s="10">
        <f t="shared" si="9"/>
        <v>0.045384157021697104</v>
      </c>
      <c r="T22" s="9">
        <f t="shared" si="10"/>
        <v>23.455390115739636</v>
      </c>
      <c r="U22" s="10">
        <f t="shared" si="11"/>
        <v>0.037949176311636225</v>
      </c>
    </row>
    <row r="23" spans="1:21" ht="12.75">
      <c r="A23" s="5">
        <v>21</v>
      </c>
      <c r="B23" s="6" t="str">
        <f t="shared" si="13"/>
        <v>Friday</v>
      </c>
      <c r="C23" s="59"/>
      <c r="D23" s="92" t="s">
        <v>53</v>
      </c>
      <c r="E23" s="8" t="s">
        <v>21</v>
      </c>
      <c r="F23" s="6" t="s">
        <v>110</v>
      </c>
      <c r="G23" s="136"/>
      <c r="H23" s="9">
        <f t="shared" si="0"/>
        <v>12.057924331341406</v>
      </c>
      <c r="I23" s="9">
        <f t="shared" si="1"/>
        <v>6.172051623324655</v>
      </c>
      <c r="J23" s="9">
        <f t="shared" si="2"/>
        <v>0.28617891530790435</v>
      </c>
      <c r="K23" s="9">
        <f t="shared" si="3"/>
        <v>0.4220516233246546</v>
      </c>
      <c r="L23" s="9">
        <f t="shared" si="4"/>
        <v>0.5579243313414048</v>
      </c>
      <c r="M23" s="9">
        <f t="shared" si="5"/>
        <v>0.6937970393581552</v>
      </c>
      <c r="N23" s="9">
        <f t="shared" si="6"/>
        <v>0.8296697473749055</v>
      </c>
      <c r="O23" s="9">
        <f t="shared" si="7"/>
        <v>0.9437970393581552</v>
      </c>
      <c r="P23" s="9">
        <f>sunrise(Location!$B$4,Location!$B$5,Location!$B$6,8,A23,Location!$B$7,IF(Location!$B$8="No",0,1))</f>
        <v>0.28617891530790435</v>
      </c>
      <c r="Q23" s="9">
        <f>sunset(Location!$B$4,Location!$B$5,Location!$B$6,8,A23,Location!$B$7,IF(Location!$B$8="No",0,1))</f>
        <v>0.8296697473749055</v>
      </c>
      <c r="R23" s="9">
        <f t="shared" si="8"/>
        <v>0.5434908320670011</v>
      </c>
      <c r="S23" s="10">
        <f t="shared" si="9"/>
        <v>0.04529090267225009</v>
      </c>
      <c r="T23" s="9">
        <f t="shared" si="10"/>
        <v>23.456509167933</v>
      </c>
      <c r="U23" s="10">
        <f t="shared" si="11"/>
        <v>0.03804243066108324</v>
      </c>
    </row>
    <row r="24" spans="1:21" ht="12.75">
      <c r="A24" s="5">
        <v>22</v>
      </c>
      <c r="B24" s="6" t="str">
        <f aca="true" t="shared" si="14" ref="B24:B30">B3</f>
        <v>Saturday</v>
      </c>
      <c r="C24" s="59"/>
      <c r="D24" s="92" t="s">
        <v>55</v>
      </c>
      <c r="E24" s="8" t="s">
        <v>24</v>
      </c>
      <c r="F24" s="6" t="s">
        <v>111</v>
      </c>
      <c r="G24" s="140"/>
      <c r="H24" s="9">
        <f t="shared" si="0"/>
        <v>12.057747180943954</v>
      </c>
      <c r="I24" s="9">
        <f t="shared" si="1"/>
        <v>6.172155956094622</v>
      </c>
      <c r="J24" s="9">
        <f t="shared" si="2"/>
        <v>0.2865647312452908</v>
      </c>
      <c r="K24" s="9">
        <f t="shared" si="3"/>
        <v>0.42215595609462253</v>
      </c>
      <c r="L24" s="9">
        <f t="shared" si="4"/>
        <v>0.5577471809439543</v>
      </c>
      <c r="M24" s="9">
        <f t="shared" si="5"/>
        <v>0.693338405793286</v>
      </c>
      <c r="N24" s="9">
        <f t="shared" si="6"/>
        <v>0.8289296306426177</v>
      </c>
      <c r="O24" s="9">
        <f t="shared" si="7"/>
        <v>0.943338405793286</v>
      </c>
      <c r="P24" s="9">
        <f>sunrise(Location!$B$4,Location!$B$5,Location!$B$6,8,A24,Location!$B$7,IF(Location!$B$8="No",0,1))</f>
        <v>0.2865647312452908</v>
      </c>
      <c r="Q24" s="9">
        <f>sunset(Location!$B$4,Location!$B$5,Location!$B$6,8,A24,Location!$B$7,IF(Location!$B$8="No",0,1))</f>
        <v>0.8289296306426177</v>
      </c>
      <c r="R24" s="9">
        <f t="shared" si="8"/>
        <v>0.5423648993973269</v>
      </c>
      <c r="S24" s="10">
        <f t="shared" si="9"/>
        <v>0.04519707494977724</v>
      </c>
      <c r="T24" s="9">
        <f t="shared" si="10"/>
        <v>23.457635100602673</v>
      </c>
      <c r="U24" s="10">
        <f t="shared" si="11"/>
        <v>0.03813625838355609</v>
      </c>
    </row>
    <row r="25" spans="1:21" ht="12.75">
      <c r="A25" s="5">
        <v>23</v>
      </c>
      <c r="B25" s="6" t="str">
        <f t="shared" si="14"/>
        <v>Sunday</v>
      </c>
      <c r="C25" s="59"/>
      <c r="D25" s="7"/>
      <c r="E25" s="8" t="s">
        <v>26</v>
      </c>
      <c r="F25" s="6" t="s">
        <v>112</v>
      </c>
      <c r="G25" s="138" t="s">
        <v>309</v>
      </c>
      <c r="H25" s="9">
        <f t="shared" si="0"/>
        <v>12.057565003515746</v>
      </c>
      <c r="I25" s="9">
        <f t="shared" si="1"/>
        <v>6.172256910675212</v>
      </c>
      <c r="J25" s="9">
        <f t="shared" si="2"/>
        <v>0.2869488178346766</v>
      </c>
      <c r="K25" s="9">
        <f t="shared" si="3"/>
        <v>0.42225691067521165</v>
      </c>
      <c r="L25" s="9">
        <f t="shared" si="4"/>
        <v>0.5575650035157467</v>
      </c>
      <c r="M25" s="9">
        <f t="shared" si="5"/>
        <v>0.6928730963562818</v>
      </c>
      <c r="N25" s="9">
        <f t="shared" si="6"/>
        <v>0.8281811891968169</v>
      </c>
      <c r="O25" s="9">
        <f t="shared" si="7"/>
        <v>0.9428730963562819</v>
      </c>
      <c r="P25" s="9">
        <f>sunrise(Location!$B$4,Location!$B$5,Location!$B$6,8,A25,Location!$B$7,IF(Location!$B$8="No",0,1))</f>
        <v>0.2869488178346766</v>
      </c>
      <c r="Q25" s="9">
        <f>sunset(Location!$B$4,Location!$B$5,Location!$B$6,8,A25,Location!$B$7,IF(Location!$B$8="No",0,1))</f>
        <v>0.8281811891968169</v>
      </c>
      <c r="R25" s="9">
        <f t="shared" si="8"/>
        <v>0.5412323713621403</v>
      </c>
      <c r="S25" s="10">
        <f t="shared" si="9"/>
        <v>0.04510269761351169</v>
      </c>
      <c r="T25" s="9">
        <f t="shared" si="10"/>
        <v>23.458767628637858</v>
      </c>
      <c r="U25" s="10">
        <f t="shared" si="11"/>
        <v>0.03823063571982164</v>
      </c>
    </row>
    <row r="26" spans="1:21" ht="12.75">
      <c r="A26" s="5">
        <v>24</v>
      </c>
      <c r="B26" s="6" t="str">
        <f t="shared" si="14"/>
        <v>Monday</v>
      </c>
      <c r="C26" s="59"/>
      <c r="D26" s="92" t="s">
        <v>59</v>
      </c>
      <c r="E26" s="8" t="s">
        <v>29</v>
      </c>
      <c r="F26" s="6" t="s">
        <v>113</v>
      </c>
      <c r="G26" s="47" t="s">
        <v>225</v>
      </c>
      <c r="H26" s="9">
        <f t="shared" si="0"/>
        <v>12.057377956932655</v>
      </c>
      <c r="I26" s="9">
        <f t="shared" si="1"/>
        <v>6.172354575407478</v>
      </c>
      <c r="J26" s="9">
        <f t="shared" si="2"/>
        <v>0.2873311938823001</v>
      </c>
      <c r="K26" s="9">
        <f t="shared" si="3"/>
        <v>0.4223545754074773</v>
      </c>
      <c r="L26" s="9">
        <f t="shared" si="4"/>
        <v>0.5573779569326545</v>
      </c>
      <c r="M26" s="9">
        <f t="shared" si="5"/>
        <v>0.6924013384578316</v>
      </c>
      <c r="N26" s="9">
        <f t="shared" si="6"/>
        <v>0.8274247199830087</v>
      </c>
      <c r="O26" s="9">
        <f t="shared" si="7"/>
        <v>0.9424013384578316</v>
      </c>
      <c r="P26" s="9">
        <f>sunrise(Location!$B$4,Location!$B$5,Location!$B$6,8,A26,Location!$B$7,IF(Location!$B$8="No",0,1))</f>
        <v>0.2873311938823001</v>
      </c>
      <c r="Q26" s="9">
        <f>sunset(Location!$B$4,Location!$B$5,Location!$B$6,8,A26,Location!$B$7,IF(Location!$B$8="No",0,1))</f>
        <v>0.8274247199830087</v>
      </c>
      <c r="R26" s="9">
        <f t="shared" si="8"/>
        <v>0.5400935261007086</v>
      </c>
      <c r="S26" s="10">
        <f t="shared" si="9"/>
        <v>0.045007793841725714</v>
      </c>
      <c r="T26" s="9">
        <f t="shared" si="10"/>
        <v>23.45990647389929</v>
      </c>
      <c r="U26" s="10">
        <f t="shared" si="11"/>
        <v>0.038325539491607614</v>
      </c>
    </row>
    <row r="27" spans="1:21" ht="12.75">
      <c r="A27" s="5">
        <v>25</v>
      </c>
      <c r="B27" s="6" t="str">
        <f t="shared" si="14"/>
        <v>Tuesday</v>
      </c>
      <c r="C27" s="59"/>
      <c r="D27" s="92" t="s">
        <v>61</v>
      </c>
      <c r="E27" s="8" t="s">
        <v>32</v>
      </c>
      <c r="F27" s="6" t="s">
        <v>114</v>
      </c>
      <c r="G27" s="136"/>
      <c r="H27" s="9">
        <f t="shared" si="0"/>
        <v>12.057186203482871</v>
      </c>
      <c r="I27" s="9">
        <f t="shared" si="1"/>
        <v>6.172449044759592</v>
      </c>
      <c r="J27" s="9">
        <f t="shared" si="2"/>
        <v>0.28771188603631276</v>
      </c>
      <c r="K27" s="9">
        <f t="shared" si="3"/>
        <v>0.42244904475959155</v>
      </c>
      <c r="L27" s="9">
        <f t="shared" si="4"/>
        <v>0.5571862034828703</v>
      </c>
      <c r="M27" s="9">
        <f t="shared" si="5"/>
        <v>0.691923362206149</v>
      </c>
      <c r="N27" s="9">
        <f t="shared" si="6"/>
        <v>0.8266605209294278</v>
      </c>
      <c r="O27" s="9">
        <f t="shared" si="7"/>
        <v>0.941923362206149</v>
      </c>
      <c r="P27" s="9">
        <f>sunrise(Location!$B$4,Location!$B$5,Location!$B$6,8,A27,Location!$B$7,IF(Location!$B$8="No",0,1))</f>
        <v>0.28771188603631276</v>
      </c>
      <c r="Q27" s="9">
        <f>sunset(Location!$B$4,Location!$B$5,Location!$B$6,8,A27,Location!$B$7,IF(Location!$B$8="No",0,1))</f>
        <v>0.8266605209294278</v>
      </c>
      <c r="R27" s="9">
        <f t="shared" si="8"/>
        <v>0.538948634893115</v>
      </c>
      <c r="S27" s="10">
        <f t="shared" si="9"/>
        <v>0.044912386241092915</v>
      </c>
      <c r="T27" s="9">
        <f t="shared" si="10"/>
        <v>23.461051365106886</v>
      </c>
      <c r="U27" s="10">
        <f t="shared" si="11"/>
        <v>0.038420947092240414</v>
      </c>
    </row>
    <row r="28" spans="1:21" ht="12.75">
      <c r="A28" s="5">
        <v>26</v>
      </c>
      <c r="B28" s="6" t="str">
        <f t="shared" si="14"/>
        <v>Wednesday</v>
      </c>
      <c r="C28" s="59"/>
      <c r="D28" s="7"/>
      <c r="E28" s="8" t="s">
        <v>36</v>
      </c>
      <c r="F28" s="6" t="s">
        <v>116</v>
      </c>
      <c r="G28" s="136"/>
      <c r="H28" s="9">
        <f t="shared" si="0"/>
        <v>12.056989909681999</v>
      </c>
      <c r="I28" s="9">
        <f t="shared" si="1"/>
        <v>6.1725404191089694</v>
      </c>
      <c r="J28" s="9">
        <f t="shared" si="2"/>
        <v>0.28809092853593976</v>
      </c>
      <c r="K28" s="9">
        <f t="shared" si="3"/>
        <v>0.4225404191089692</v>
      </c>
      <c r="L28" s="9">
        <f t="shared" si="4"/>
        <v>0.5569899096819987</v>
      </c>
      <c r="M28" s="9">
        <f t="shared" si="5"/>
        <v>0.6914394002550281</v>
      </c>
      <c r="N28" s="9">
        <f t="shared" si="6"/>
        <v>0.8258888908280576</v>
      </c>
      <c r="O28" s="9">
        <f t="shared" si="7"/>
        <v>0.9414394002550281</v>
      </c>
      <c r="P28" s="9">
        <f>sunrise(Location!$B$4,Location!$B$5,Location!$B$6,8,A28,Location!$B$7,IF(Location!$B$8="No",0,1))</f>
        <v>0.28809092853593976</v>
      </c>
      <c r="Q28" s="9">
        <f>sunset(Location!$B$4,Location!$B$5,Location!$B$6,8,A28,Location!$B$7,IF(Location!$B$8="No",0,1))</f>
        <v>0.8258888908280576</v>
      </c>
      <c r="R28" s="9">
        <f t="shared" si="8"/>
        <v>0.5377979622921178</v>
      </c>
      <c r="S28" s="10">
        <f t="shared" si="9"/>
        <v>0.04481649685767649</v>
      </c>
      <c r="T28" s="9">
        <f t="shared" si="10"/>
        <v>23.462202037707883</v>
      </c>
      <c r="U28" s="10">
        <f t="shared" si="11"/>
        <v>0.03851683647565684</v>
      </c>
    </row>
    <row r="29" spans="1:21" ht="12.75">
      <c r="A29" s="5">
        <v>27</v>
      </c>
      <c r="B29" s="6" t="str">
        <f t="shared" si="14"/>
        <v>Thursday</v>
      </c>
      <c r="C29" s="59"/>
      <c r="D29" s="7"/>
      <c r="E29" s="8" t="s">
        <v>17</v>
      </c>
      <c r="F29" s="6" t="s">
        <v>117</v>
      </c>
      <c r="G29" s="136"/>
      <c r="H29" s="9">
        <f t="shared" si="0"/>
        <v>12.056789246092949</v>
      </c>
      <c r="I29" s="9">
        <f t="shared" si="1"/>
        <v>6.172628804526755</v>
      </c>
      <c r="J29" s="9">
        <f t="shared" si="2"/>
        <v>0.28846836296056116</v>
      </c>
      <c r="K29" s="9">
        <f t="shared" si="3"/>
        <v>0.422628804526755</v>
      </c>
      <c r="L29" s="9">
        <f t="shared" si="4"/>
        <v>0.5567892460929489</v>
      </c>
      <c r="M29" s="9">
        <f t="shared" si="5"/>
        <v>0.6909496876591428</v>
      </c>
      <c r="N29" s="9">
        <f t="shared" si="6"/>
        <v>0.8251101292253367</v>
      </c>
      <c r="O29" s="9">
        <f t="shared" si="7"/>
        <v>0.9409496876591428</v>
      </c>
      <c r="P29" s="9">
        <f>sunrise(Location!$B$4,Location!$B$5,Location!$B$6,8,A29,Location!$B$7,IF(Location!$B$8="No",0,1))</f>
        <v>0.28846836296056116</v>
      </c>
      <c r="Q29" s="9">
        <f>sunset(Location!$B$4,Location!$B$5,Location!$B$6,8,A29,Location!$B$7,IF(Location!$B$8="No",0,1))</f>
        <v>0.8251101292253367</v>
      </c>
      <c r="R29" s="9">
        <f t="shared" si="8"/>
        <v>0.5366417662647756</v>
      </c>
      <c r="S29" s="10">
        <f t="shared" si="9"/>
        <v>0.044720147188731296</v>
      </c>
      <c r="T29" s="9">
        <f t="shared" si="10"/>
        <v>23.463358233735224</v>
      </c>
      <c r="U29" s="10">
        <f t="shared" si="11"/>
        <v>0.03861318614460203</v>
      </c>
    </row>
    <row r="30" spans="1:21" ht="12.75">
      <c r="A30" s="5">
        <v>28</v>
      </c>
      <c r="B30" s="6" t="str">
        <f t="shared" si="14"/>
        <v>Friday</v>
      </c>
      <c r="C30" s="59"/>
      <c r="D30" s="92" t="s">
        <v>64</v>
      </c>
      <c r="E30" s="8" t="s">
        <v>21</v>
      </c>
      <c r="F30" s="6" t="s">
        <v>118</v>
      </c>
      <c r="G30" s="45" t="s">
        <v>218</v>
      </c>
      <c r="H30" s="9">
        <f t="shared" si="0"/>
        <v>12.056584387151787</v>
      </c>
      <c r="I30" s="9">
        <f t="shared" si="1"/>
        <v>6.172714312564381</v>
      </c>
      <c r="J30" s="9">
        <f t="shared" si="2"/>
        <v>0.2888442379769742</v>
      </c>
      <c r="K30" s="9">
        <f t="shared" si="3"/>
        <v>0.42271431256438113</v>
      </c>
      <c r="L30" s="9">
        <f t="shared" si="4"/>
        <v>0.556584387151788</v>
      </c>
      <c r="M30" s="9">
        <f t="shared" si="5"/>
        <v>0.690454461739195</v>
      </c>
      <c r="N30" s="9">
        <f t="shared" si="6"/>
        <v>0.8243245363266019</v>
      </c>
      <c r="O30" s="9">
        <f t="shared" si="7"/>
        <v>0.940454461739195</v>
      </c>
      <c r="P30" s="9">
        <f>sunrise(Location!$B$4,Location!$B$5,Location!$B$6,8,A30,Location!$B$7,IF(Location!$B$8="No",0,1))</f>
        <v>0.2888442379769742</v>
      </c>
      <c r="Q30" s="9">
        <f>sunset(Location!$B$4,Location!$B$5,Location!$B$6,8,A30,Location!$B$7,IF(Location!$B$8="No",0,1))</f>
        <v>0.8243245363266019</v>
      </c>
      <c r="R30" s="9">
        <f t="shared" si="8"/>
        <v>0.5354802983496276</v>
      </c>
      <c r="S30" s="10">
        <f t="shared" si="9"/>
        <v>0.0446233581958023</v>
      </c>
      <c r="T30" s="9">
        <f t="shared" si="10"/>
        <v>23.46451970165037</v>
      </c>
      <c r="U30" s="10">
        <f t="shared" si="11"/>
        <v>0.03870997513753103</v>
      </c>
    </row>
    <row r="31" spans="1:21" ht="12.75">
      <c r="A31" s="5">
        <v>29</v>
      </c>
      <c r="B31" s="6" t="str">
        <f>B3</f>
        <v>Saturday</v>
      </c>
      <c r="C31" s="59"/>
      <c r="D31" s="92" t="s">
        <v>67</v>
      </c>
      <c r="E31" s="8" t="s">
        <v>24</v>
      </c>
      <c r="F31" s="6" t="s">
        <v>119</v>
      </c>
      <c r="G31" s="140"/>
      <c r="H31" s="9">
        <f t="shared" si="0"/>
        <v>12.056375510999878</v>
      </c>
      <c r="I31" s="9">
        <f t="shared" si="1"/>
        <v>6.1727970600438375</v>
      </c>
      <c r="J31" s="9">
        <f t="shared" si="2"/>
        <v>0.2892186090877974</v>
      </c>
      <c r="K31" s="9">
        <f t="shared" si="3"/>
        <v>0.4227970600438373</v>
      </c>
      <c r="L31" s="9">
        <f t="shared" si="4"/>
        <v>0.5563755109998773</v>
      </c>
      <c r="M31" s="9">
        <f t="shared" si="5"/>
        <v>0.6899539619559172</v>
      </c>
      <c r="N31" s="9">
        <f t="shared" si="6"/>
        <v>0.8235324129119571</v>
      </c>
      <c r="O31" s="9">
        <f t="shared" si="7"/>
        <v>0.9399539619559172</v>
      </c>
      <c r="P31" s="9">
        <f>sunrise(Location!$B$4,Location!$B$5,Location!$B$6,8,A31,Location!$B$7,IF(Location!$B$8="No",0,1))</f>
        <v>0.2892186090877974</v>
      </c>
      <c r="Q31" s="9">
        <f>sunset(Location!$B$4,Location!$B$5,Location!$B$6,8,A31,Location!$B$7,IF(Location!$B$8="No",0,1))</f>
        <v>0.8235324129119571</v>
      </c>
      <c r="R31" s="9">
        <f t="shared" si="8"/>
        <v>0.5343138038241597</v>
      </c>
      <c r="S31" s="10">
        <f t="shared" si="9"/>
        <v>0.04452615031867998</v>
      </c>
      <c r="T31" s="9">
        <f t="shared" si="10"/>
        <v>23.46568619617584</v>
      </c>
      <c r="U31" s="10">
        <f t="shared" si="11"/>
        <v>0.03880718301465335</v>
      </c>
    </row>
    <row r="32" spans="1:21" ht="12.75">
      <c r="A32" s="5">
        <v>30</v>
      </c>
      <c r="B32" s="6" t="str">
        <f>B4</f>
        <v>Sunday</v>
      </c>
      <c r="C32" s="59"/>
      <c r="D32" s="92" t="s">
        <v>69</v>
      </c>
      <c r="E32" s="8" t="s">
        <v>26</v>
      </c>
      <c r="F32" s="6" t="s">
        <v>120</v>
      </c>
      <c r="G32" s="138" t="s">
        <v>310</v>
      </c>
      <c r="H32" s="9">
        <f t="shared" si="0"/>
        <v>12.056162799324103</v>
      </c>
      <c r="I32" s="9">
        <f t="shared" si="1"/>
        <v>6.172877168853012</v>
      </c>
      <c r="J32" s="9">
        <f t="shared" si="2"/>
        <v>0.28959153838192214</v>
      </c>
      <c r="K32" s="9">
        <f t="shared" si="3"/>
        <v>0.4228771688530122</v>
      </c>
      <c r="L32" s="9">
        <f t="shared" si="4"/>
        <v>0.5561627993241023</v>
      </c>
      <c r="M32" s="9">
        <f t="shared" si="5"/>
        <v>0.6894484297951923</v>
      </c>
      <c r="N32" s="9">
        <f t="shared" si="6"/>
        <v>0.8227340602662823</v>
      </c>
      <c r="O32" s="9">
        <f t="shared" si="7"/>
        <v>0.9394484297951922</v>
      </c>
      <c r="P32" s="9">
        <f>sunrise(Location!$B$4,Location!$B$5,Location!$B$6,8,A32,Location!$B$7,IF(Location!$B$8="No",0,1))</f>
        <v>0.28959153838192214</v>
      </c>
      <c r="Q32" s="9">
        <f>sunset(Location!$B$4,Location!$B$5,Location!$B$6,8,A32,Location!$B$7,IF(Location!$B$8="No",0,1))</f>
        <v>0.8227340602662823</v>
      </c>
      <c r="R32" s="9">
        <f t="shared" si="8"/>
        <v>0.5331425218843602</v>
      </c>
      <c r="S32" s="10">
        <f t="shared" si="9"/>
        <v>0.04442854349036335</v>
      </c>
      <c r="T32" s="9">
        <f t="shared" si="10"/>
        <v>23.46685747811564</v>
      </c>
      <c r="U32" s="10">
        <f t="shared" si="11"/>
        <v>0.03890478984296998</v>
      </c>
    </row>
    <row r="33" spans="1:21" ht="12.75">
      <c r="A33" s="5">
        <v>31</v>
      </c>
      <c r="B33" s="6" t="str">
        <f>B5</f>
        <v>Monday</v>
      </c>
      <c r="C33" s="59"/>
      <c r="D33" s="7"/>
      <c r="E33" s="8" t="s">
        <v>29</v>
      </c>
      <c r="F33" s="6" t="s">
        <v>78</v>
      </c>
      <c r="G33" s="48" t="s">
        <v>144</v>
      </c>
      <c r="H33" s="9">
        <f t="shared" si="0"/>
        <v>12.055946437201728</v>
      </c>
      <c r="I33" s="9">
        <f t="shared" si="1"/>
        <v>6.172954765743052</v>
      </c>
      <c r="J33" s="9">
        <f t="shared" si="2"/>
        <v>0.28996309428437633</v>
      </c>
      <c r="K33" s="9">
        <f t="shared" si="3"/>
        <v>0.4229547657430517</v>
      </c>
      <c r="L33" s="9">
        <f t="shared" si="4"/>
        <v>0.5559464372017271</v>
      </c>
      <c r="M33" s="9">
        <f t="shared" si="5"/>
        <v>0.6889381086604024</v>
      </c>
      <c r="N33" s="9">
        <f t="shared" si="6"/>
        <v>0.8219297801190777</v>
      </c>
      <c r="O33" s="9">
        <f t="shared" si="7"/>
        <v>0.9389381086604023</v>
      </c>
      <c r="P33" s="9">
        <f>sunrise(Location!$B$4,Location!$B$5,Location!$B$6,8,A33,Location!$B$7,IF(Location!$B$8="No",0,1))</f>
        <v>0.28996309428437633</v>
      </c>
      <c r="Q33" s="9">
        <f>sunset(Location!$B$4,Location!$B$5,Location!$B$6,8,A33,Location!$B$7,IF(Location!$B$8="No",0,1))</f>
        <v>0.8219297801190777</v>
      </c>
      <c r="R33" s="9">
        <f t="shared" si="8"/>
        <v>0.5319666858347014</v>
      </c>
      <c r="S33" s="10">
        <f t="shared" si="9"/>
        <v>0.04433055715289178</v>
      </c>
      <c r="T33" s="9">
        <f t="shared" si="10"/>
        <v>23.4680333141653</v>
      </c>
      <c r="U33" s="10">
        <f t="shared" si="11"/>
        <v>0.03900277618044155</v>
      </c>
    </row>
    <row r="34" ht="12.75">
      <c r="B34" s="6"/>
    </row>
    <row r="35" ht="12.75">
      <c r="A35" s="6"/>
    </row>
    <row r="36" ht="12.75">
      <c r="E36" s="11"/>
    </row>
    <row r="37" spans="3:5" ht="12.75">
      <c r="C37" s="58" t="str">
        <f>IF(Location!B9="No",Location!C13,Location!C14)</f>
        <v>D</v>
      </c>
      <c r="D37" s="53"/>
      <c r="E37" s="52"/>
    </row>
  </sheetData>
  <sheetProtection/>
  <conditionalFormatting sqref="E3:E33">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U37"/>
  <sheetViews>
    <sheetView zoomScalePageLayoutView="0" workbookViewId="0" topLeftCell="A1">
      <pane xSplit="7" ySplit="2" topLeftCell="H3" activePane="bottomRight" state="frozen"/>
      <selection pane="topLeft" activeCell="A2" sqref="A2"/>
      <selection pane="topRight" activeCell="A2" sqref="A2"/>
      <selection pane="bottomLeft" activeCell="A2" sqref="A2"/>
      <selection pane="bottomRight" activeCell="A2" sqref="A2"/>
    </sheetView>
  </sheetViews>
  <sheetFormatPr defaultColWidth="9.140625" defaultRowHeight="12.75"/>
  <cols>
    <col min="1" max="1" width="5.00390625" style="4" customWidth="1"/>
    <col min="2" max="2" width="11.8515625" style="4" customWidth="1"/>
    <col min="3" max="3" width="3.7109375" style="4" customWidth="1"/>
    <col min="4" max="4" width="4.7109375" style="4" customWidth="1"/>
    <col min="5" max="5" width="3.7109375" style="4" customWidth="1"/>
    <col min="6" max="6" width="12.7109375" style="4" customWidth="1"/>
    <col min="7" max="7" width="30.7109375" style="4" customWidth="1"/>
    <col min="8" max="13" width="6.7109375" style="4" customWidth="1"/>
    <col min="14" max="15" width="8.28125" style="4" customWidth="1"/>
    <col min="16" max="16" width="7.28125" style="4" customWidth="1"/>
    <col min="17" max="17" width="7.140625" style="4" customWidth="1"/>
    <col min="18" max="18" width="7.57421875" style="4" customWidth="1"/>
    <col min="19" max="19" width="9.7109375" style="4" customWidth="1"/>
    <col min="20" max="20" width="8.28125" style="4" customWidth="1"/>
    <col min="21" max="21" width="9.7109375" style="4" customWidth="1"/>
    <col min="22" max="16384" width="9.140625" style="4" customWidth="1"/>
  </cols>
  <sheetData>
    <row r="1" spans="1:21" ht="23.25">
      <c r="A1" s="117" t="s">
        <v>174</v>
      </c>
      <c r="B1" s="118"/>
      <c r="C1" s="118"/>
      <c r="D1" s="118"/>
      <c r="E1" s="119"/>
      <c r="F1" s="119" t="str">
        <f>ROMAN(Location!$B$6)</f>
        <v>MMIX</v>
      </c>
      <c r="G1" s="118"/>
      <c r="H1" s="120"/>
      <c r="I1" s="120"/>
      <c r="J1" s="120"/>
      <c r="K1" s="120"/>
      <c r="L1" s="120"/>
      <c r="M1" s="120"/>
      <c r="N1" s="120"/>
      <c r="O1" s="120"/>
      <c r="P1" s="121"/>
      <c r="Q1" s="118"/>
      <c r="R1" s="120"/>
      <c r="S1" s="120"/>
      <c r="T1" s="120"/>
      <c r="U1" s="122"/>
    </row>
    <row r="2" spans="1:21" ht="12.75">
      <c r="A2" s="3" t="s">
        <v>0</v>
      </c>
      <c r="B2" s="3" t="s">
        <v>1</v>
      </c>
      <c r="C2" s="3"/>
      <c r="D2" s="3"/>
      <c r="E2" s="3"/>
      <c r="F2" s="3"/>
      <c r="G2" s="3" t="s">
        <v>2</v>
      </c>
      <c r="H2" s="27" t="s">
        <v>3</v>
      </c>
      <c r="I2" s="27" t="s">
        <v>4</v>
      </c>
      <c r="J2" s="27" t="s">
        <v>5</v>
      </c>
      <c r="K2" s="27" t="s">
        <v>6</v>
      </c>
      <c r="L2" s="27" t="s">
        <v>7</v>
      </c>
      <c r="M2" s="27" t="s">
        <v>8</v>
      </c>
      <c r="N2" s="27" t="s">
        <v>9</v>
      </c>
      <c r="O2" s="27" t="s">
        <v>10</v>
      </c>
      <c r="P2" s="27" t="s">
        <v>11</v>
      </c>
      <c r="Q2" s="27" t="s">
        <v>12</v>
      </c>
      <c r="R2" s="27" t="s">
        <v>13</v>
      </c>
      <c r="S2" s="27" t="s">
        <v>132</v>
      </c>
      <c r="T2" s="27" t="s">
        <v>15</v>
      </c>
      <c r="U2" s="27" t="s">
        <v>133</v>
      </c>
    </row>
    <row r="3" spans="1:21" ht="12.75">
      <c r="A3" s="5">
        <v>1</v>
      </c>
      <c r="B3" s="6" t="str">
        <f>Augustus!B27</f>
        <v>Tuesday</v>
      </c>
      <c r="C3" s="59"/>
      <c r="D3" s="92" t="s">
        <v>72</v>
      </c>
      <c r="E3" s="8" t="s">
        <v>32</v>
      </c>
      <c r="F3" s="6" t="s">
        <v>18</v>
      </c>
      <c r="G3" s="136"/>
      <c r="H3" s="9">
        <f aca="true" t="shared" si="0" ref="H3:H32">(T3/2)+Q3-"12:00:00"</f>
        <v>12.055726612954343</v>
      </c>
      <c r="I3" s="9">
        <f aca="true" t="shared" si="1" ref="I3:I32">H3+((J3-H3)/2)</f>
        <v>6.173029982132184</v>
      </c>
      <c r="J3" s="9">
        <f aca="true" t="shared" si="2" ref="J3:J32">P3</f>
        <v>0.2903333513100251</v>
      </c>
      <c r="K3" s="9">
        <f aca="true" t="shared" si="3" ref="K3:K32">J3+((L3-J3)/2)</f>
        <v>0.4230299821321837</v>
      </c>
      <c r="L3" s="9">
        <f aca="true" t="shared" si="4" ref="L3:L32">(R3/2)+J3</f>
        <v>0.5557266129543423</v>
      </c>
      <c r="M3" s="9">
        <f aca="true" t="shared" si="5" ref="M3:M32">((N3-L3)/2)+L3</f>
        <v>0.688423243776501</v>
      </c>
      <c r="N3" s="9">
        <f aca="true" t="shared" si="6" ref="N3:N32">Q3</f>
        <v>0.8211198745986596</v>
      </c>
      <c r="O3" s="9">
        <f aca="true" t="shared" si="7" ref="O3:O32">3*U3+N3</f>
        <v>0.938423243776501</v>
      </c>
      <c r="P3" s="9">
        <f>sunrise(Location!$B$4,Location!$B$5,Location!$B$6,9,A3,Location!$B$7,IF(Location!$B$8="No",0,1))</f>
        <v>0.2903333513100251</v>
      </c>
      <c r="Q3" s="9">
        <f>sunset(Location!$B$4,Location!$B$5,Location!$B$6,9,A3,Location!$B$7,IF(Location!$B$8="No",0,1))</f>
        <v>0.8211198745986596</v>
      </c>
      <c r="R3" s="9">
        <f aca="true" t="shared" si="8" ref="R3:R32">Q3-P3</f>
        <v>0.5307865232886346</v>
      </c>
      <c r="S3" s="10">
        <f aca="true" t="shared" si="9" ref="S3:S32">R3/12</f>
        <v>0.044232210274052886</v>
      </c>
      <c r="T3" s="9">
        <f aca="true" t="shared" si="10" ref="T3:T32">(24-(Q3-P3))</f>
        <v>23.469213476711367</v>
      </c>
      <c r="U3" s="10">
        <f aca="true" t="shared" si="11" ref="U3:U32">"1:00:00"-S3+"1:00:00"</f>
        <v>0.03910112305928044</v>
      </c>
    </row>
    <row r="4" spans="1:21" ht="12.75">
      <c r="A4" s="5">
        <v>2</v>
      </c>
      <c r="B4" s="6" t="str">
        <f>Augustus!B28</f>
        <v>Wednesday</v>
      </c>
      <c r="C4" s="59"/>
      <c r="D4" s="92" t="s">
        <v>75</v>
      </c>
      <c r="E4" s="8" t="s">
        <v>36</v>
      </c>
      <c r="F4" s="6" t="s">
        <v>93</v>
      </c>
      <c r="G4" s="136"/>
      <c r="H4" s="9">
        <f t="shared" si="0"/>
        <v>12.055503518006917</v>
      </c>
      <c r="I4" s="9">
        <f t="shared" si="1"/>
        <v>6.173102953912613</v>
      </c>
      <c r="J4" s="9">
        <f t="shared" si="2"/>
        <v>0.2907023898183088</v>
      </c>
      <c r="K4" s="9">
        <f t="shared" si="3"/>
        <v>0.42310295391261354</v>
      </c>
      <c r="L4" s="9">
        <f t="shared" si="4"/>
        <v>0.5555035180069183</v>
      </c>
      <c r="M4" s="9">
        <f t="shared" si="5"/>
        <v>0.6879040821012231</v>
      </c>
      <c r="N4" s="9">
        <f t="shared" si="6"/>
        <v>0.8203046461955279</v>
      </c>
      <c r="O4" s="9">
        <f t="shared" si="7"/>
        <v>0.9379040821012231</v>
      </c>
      <c r="P4" s="9">
        <f>sunrise(Location!$B$4,Location!$B$5,Location!$B$6,9,A4,Location!$B$7,IF(Location!$B$8="No",0,1))</f>
        <v>0.2907023898183088</v>
      </c>
      <c r="Q4" s="9">
        <f>sunset(Location!$B$4,Location!$B$5,Location!$B$6,9,A4,Location!$B$7,IF(Location!$B$8="No",0,1))</f>
        <v>0.8203046461955279</v>
      </c>
      <c r="R4" s="9">
        <f t="shared" si="8"/>
        <v>0.5296022563772191</v>
      </c>
      <c r="S4" s="10">
        <f t="shared" si="9"/>
        <v>0.04413352136476826</v>
      </c>
      <c r="T4" s="9">
        <f t="shared" si="10"/>
        <v>23.47039774362278</v>
      </c>
      <c r="U4" s="10">
        <f t="shared" si="11"/>
        <v>0.03919981196856507</v>
      </c>
    </row>
    <row r="5" spans="1:21" ht="12.75">
      <c r="A5" s="5">
        <v>3</v>
      </c>
      <c r="B5" s="6" t="str">
        <f>Augustus!B29</f>
        <v>Thursday</v>
      </c>
      <c r="C5" s="59"/>
      <c r="D5" s="7"/>
      <c r="E5" s="8" t="s">
        <v>17</v>
      </c>
      <c r="F5" s="6" t="s">
        <v>94</v>
      </c>
      <c r="G5" s="136"/>
      <c r="H5" s="9">
        <f t="shared" si="0"/>
        <v>12.055277346753783</v>
      </c>
      <c r="I5" s="9">
        <f t="shared" si="1"/>
        <v>6.173173821262318</v>
      </c>
      <c r="J5" s="9">
        <f t="shared" si="2"/>
        <v>0.29107029577085214</v>
      </c>
      <c r="K5" s="9">
        <f t="shared" si="3"/>
        <v>0.42317382126231706</v>
      </c>
      <c r="L5" s="9">
        <f t="shared" si="4"/>
        <v>0.5552773467537819</v>
      </c>
      <c r="M5" s="9">
        <f t="shared" si="5"/>
        <v>0.6873808722452468</v>
      </c>
      <c r="N5" s="9">
        <f t="shared" si="6"/>
        <v>0.8194843977367116</v>
      </c>
      <c r="O5" s="9">
        <f t="shared" si="7"/>
        <v>0.9373808722452467</v>
      </c>
      <c r="P5" s="9">
        <f>sunrise(Location!$B$4,Location!$B$5,Location!$B$6,9,A5,Location!$B$7,IF(Location!$B$8="No",0,1))</f>
        <v>0.29107029577085214</v>
      </c>
      <c r="Q5" s="9">
        <f>sunset(Location!$B$4,Location!$B$5,Location!$B$6,9,A5,Location!$B$7,IF(Location!$B$8="No",0,1))</f>
        <v>0.8194843977367116</v>
      </c>
      <c r="R5" s="9">
        <f t="shared" si="8"/>
        <v>0.5284141019658595</v>
      </c>
      <c r="S5" s="10">
        <f t="shared" si="9"/>
        <v>0.044034508497154956</v>
      </c>
      <c r="T5" s="9">
        <f t="shared" si="10"/>
        <v>23.471585898034142</v>
      </c>
      <c r="U5" s="10">
        <f t="shared" si="11"/>
        <v>0.03929882483617837</v>
      </c>
    </row>
    <row r="6" spans="1:21" ht="12.75">
      <c r="A6" s="5">
        <v>4</v>
      </c>
      <c r="B6" s="6" t="str">
        <f>Augustus!B30</f>
        <v>Friday</v>
      </c>
      <c r="C6" s="59"/>
      <c r="D6" s="92" t="s">
        <v>20</v>
      </c>
      <c r="E6" s="8" t="s">
        <v>21</v>
      </c>
      <c r="F6" s="6" t="s">
        <v>27</v>
      </c>
      <c r="G6" s="136"/>
      <c r="H6" s="9">
        <f t="shared" si="0"/>
        <v>12.055048296432988</v>
      </c>
      <c r="I6" s="9">
        <f t="shared" si="1"/>
        <v>6.1732427284628</v>
      </c>
      <c r="J6" s="9">
        <f t="shared" si="2"/>
        <v>0.2914371604926131</v>
      </c>
      <c r="K6" s="9">
        <f t="shared" si="3"/>
        <v>0.42324272846280087</v>
      </c>
      <c r="L6" s="9">
        <f t="shared" si="4"/>
        <v>0.5550482964329886</v>
      </c>
      <c r="M6" s="9">
        <f t="shared" si="5"/>
        <v>0.6868538644031763</v>
      </c>
      <c r="N6" s="9">
        <f t="shared" si="6"/>
        <v>0.818659432373364</v>
      </c>
      <c r="O6" s="9">
        <f t="shared" si="7"/>
        <v>0.9368538644031763</v>
      </c>
      <c r="P6" s="9">
        <f>sunrise(Location!$B$4,Location!$B$5,Location!$B$6,9,A6,Location!$B$7,IF(Location!$B$8="No",0,1))</f>
        <v>0.2914371604926131</v>
      </c>
      <c r="Q6" s="9">
        <f>sunset(Location!$B$4,Location!$B$5,Location!$B$6,9,A6,Location!$B$7,IF(Location!$B$8="No",0,1))</f>
        <v>0.818659432373364</v>
      </c>
      <c r="R6" s="9">
        <f t="shared" si="8"/>
        <v>0.5272222718807509</v>
      </c>
      <c r="S6" s="10">
        <f t="shared" si="9"/>
        <v>0.04393518932339591</v>
      </c>
      <c r="T6" s="9">
        <f t="shared" si="10"/>
        <v>23.472777728119247</v>
      </c>
      <c r="U6" s="10">
        <f t="shared" si="11"/>
        <v>0.03939814400993742</v>
      </c>
    </row>
    <row r="7" spans="1:21" ht="12.75">
      <c r="A7" s="5">
        <v>5</v>
      </c>
      <c r="B7" s="6" t="str">
        <f>Augustus!B31</f>
        <v>Saturday</v>
      </c>
      <c r="C7" s="59"/>
      <c r="D7" s="7"/>
      <c r="E7" s="8" t="s">
        <v>24</v>
      </c>
      <c r="F7" s="6" t="s">
        <v>30</v>
      </c>
      <c r="G7" s="140"/>
      <c r="H7" s="9">
        <f t="shared" si="0"/>
        <v>12.054816567004575</v>
      </c>
      <c r="I7" s="9">
        <f t="shared" si="1"/>
        <v>6.173309823719344</v>
      </c>
      <c r="J7" s="9">
        <f t="shared" si="2"/>
        <v>0.29180308043411246</v>
      </c>
      <c r="K7" s="9">
        <f t="shared" si="3"/>
        <v>0.4233098237193442</v>
      </c>
      <c r="L7" s="9">
        <f t="shared" si="4"/>
        <v>0.5548165670045759</v>
      </c>
      <c r="M7" s="9">
        <f t="shared" si="5"/>
        <v>0.6863233102898076</v>
      </c>
      <c r="N7" s="9">
        <f t="shared" si="6"/>
        <v>0.8178300535750392</v>
      </c>
      <c r="O7" s="9">
        <f t="shared" si="7"/>
        <v>0.9363233102898075</v>
      </c>
      <c r="P7" s="9">
        <f>sunrise(Location!$B$4,Location!$B$5,Location!$B$6,9,A7,Location!$B$7,IF(Location!$B$8="No",0,1))</f>
        <v>0.29180308043411246</v>
      </c>
      <c r="Q7" s="9">
        <f>sunset(Location!$B$4,Location!$B$5,Location!$B$6,9,A7,Location!$B$7,IF(Location!$B$8="No",0,1))</f>
        <v>0.8178300535750392</v>
      </c>
      <c r="R7" s="9">
        <f t="shared" si="8"/>
        <v>0.5260269731409268</v>
      </c>
      <c r="S7" s="10">
        <f t="shared" si="9"/>
        <v>0.043835581095077236</v>
      </c>
      <c r="T7" s="9">
        <f t="shared" si="10"/>
        <v>23.473973026859074</v>
      </c>
      <c r="U7" s="10">
        <f t="shared" si="11"/>
        <v>0.03949775223825609</v>
      </c>
    </row>
    <row r="8" spans="1:21" ht="12.75">
      <c r="A8" s="5">
        <v>6</v>
      </c>
      <c r="B8" s="6" t="str">
        <f>Augustus!B32</f>
        <v>Sunday</v>
      </c>
      <c r="C8" s="59"/>
      <c r="D8" s="92" t="s">
        <v>23</v>
      </c>
      <c r="E8" s="8" t="s">
        <v>26</v>
      </c>
      <c r="F8" s="6" t="s">
        <v>95</v>
      </c>
      <c r="G8" s="138" t="s">
        <v>311</v>
      </c>
      <c r="H8" s="9">
        <f t="shared" si="0"/>
        <v>12.054582361036656</v>
      </c>
      <c r="I8" s="9">
        <f t="shared" si="1"/>
        <v>6.173375258987257</v>
      </c>
      <c r="J8" s="9">
        <f t="shared" si="2"/>
        <v>0.292168156937856</v>
      </c>
      <c r="K8" s="9">
        <f t="shared" si="3"/>
        <v>0.42337525898725625</v>
      </c>
      <c r="L8" s="9">
        <f t="shared" si="4"/>
        <v>0.5545823610366565</v>
      </c>
      <c r="M8" s="9">
        <f t="shared" si="5"/>
        <v>0.6857894630860566</v>
      </c>
      <c r="N8" s="9">
        <f t="shared" si="6"/>
        <v>0.8169965651354568</v>
      </c>
      <c r="O8" s="9">
        <f t="shared" si="7"/>
        <v>0.9357894630860566</v>
      </c>
      <c r="P8" s="9">
        <f>sunrise(Location!$B$4,Location!$B$5,Location!$B$6,9,A8,Location!$B$7,IF(Location!$B$8="No",0,1))</f>
        <v>0.292168156937856</v>
      </c>
      <c r="Q8" s="9">
        <f>sunset(Location!$B$4,Location!$B$5,Location!$B$6,9,A8,Location!$B$7,IF(Location!$B$8="No",0,1))</f>
        <v>0.8169965651354568</v>
      </c>
      <c r="R8" s="9">
        <f t="shared" si="8"/>
        <v>0.5248284081976008</v>
      </c>
      <c r="S8" s="10">
        <f t="shared" si="9"/>
        <v>0.0437357006831334</v>
      </c>
      <c r="T8" s="9">
        <f t="shared" si="10"/>
        <v>23.4751715918024</v>
      </c>
      <c r="U8" s="10">
        <f t="shared" si="11"/>
        <v>0.03959763265019993</v>
      </c>
    </row>
    <row r="9" spans="1:21" ht="12.75">
      <c r="A9" s="5">
        <v>7</v>
      </c>
      <c r="B9" s="6" t="str">
        <f>Augustus!B33</f>
        <v>Monday</v>
      </c>
      <c r="C9" s="59"/>
      <c r="D9" s="92" t="s">
        <v>28</v>
      </c>
      <c r="E9" s="8" t="s">
        <v>29</v>
      </c>
      <c r="F9" s="6" t="s">
        <v>96</v>
      </c>
      <c r="G9" s="136"/>
      <c r="H9" s="9">
        <f t="shared" si="0"/>
        <v>12.054345883597078</v>
      </c>
      <c r="I9" s="9">
        <f t="shared" si="1"/>
        <v>6.173439189801958</v>
      </c>
      <c r="J9" s="9">
        <f t="shared" si="2"/>
        <v>0.292532496006838</v>
      </c>
      <c r="K9" s="9">
        <f t="shared" si="3"/>
        <v>0.4234391898019576</v>
      </c>
      <c r="L9" s="9">
        <f t="shared" si="4"/>
        <v>0.5543458835970771</v>
      </c>
      <c r="M9" s="9">
        <f t="shared" si="5"/>
        <v>0.6852525773921968</v>
      </c>
      <c r="N9" s="9">
        <f t="shared" si="6"/>
        <v>0.8161592711873165</v>
      </c>
      <c r="O9" s="9">
        <f t="shared" si="7"/>
        <v>0.9352525773921968</v>
      </c>
      <c r="P9" s="9">
        <f>sunrise(Location!$B$4,Location!$B$5,Location!$B$6,9,A9,Location!$B$7,IF(Location!$B$8="No",0,1))</f>
        <v>0.292532496006838</v>
      </c>
      <c r="Q9" s="9">
        <f>sunset(Location!$B$4,Location!$B$5,Location!$B$6,9,A9,Location!$B$7,IF(Location!$B$8="No",0,1))</f>
        <v>0.8161592711873165</v>
      </c>
      <c r="R9" s="9">
        <f t="shared" si="8"/>
        <v>0.5236267751804784</v>
      </c>
      <c r="S9" s="10">
        <f t="shared" si="9"/>
        <v>0.0436355645983732</v>
      </c>
      <c r="T9" s="9">
        <f t="shared" si="10"/>
        <v>23.476373224819522</v>
      </c>
      <c r="U9" s="10">
        <f t="shared" si="11"/>
        <v>0.03969776873496013</v>
      </c>
    </row>
    <row r="10" spans="1:21" ht="12.75">
      <c r="A10" s="5">
        <v>8</v>
      </c>
      <c r="B10" s="6" t="str">
        <f aca="true" t="shared" si="12" ref="B10:B16">B3</f>
        <v>Tuesday</v>
      </c>
      <c r="C10" s="59"/>
      <c r="D10" s="7"/>
      <c r="E10" s="8" t="s">
        <v>32</v>
      </c>
      <c r="F10" s="6" t="s">
        <v>97</v>
      </c>
      <c r="G10" s="48" t="s">
        <v>145</v>
      </c>
      <c r="H10" s="9">
        <f t="shared" si="0"/>
        <v>12.054107342150639</v>
      </c>
      <c r="I10" s="9">
        <f t="shared" si="1"/>
        <v>6.17350177511376</v>
      </c>
      <c r="J10" s="9">
        <f t="shared" si="2"/>
        <v>0.2928962080768811</v>
      </c>
      <c r="K10" s="9">
        <f t="shared" si="3"/>
        <v>0.4235017751137599</v>
      </c>
      <c r="L10" s="9">
        <f t="shared" si="4"/>
        <v>0.5541073421506387</v>
      </c>
      <c r="M10" s="9">
        <f t="shared" si="5"/>
        <v>0.6847129091875175</v>
      </c>
      <c r="N10" s="9">
        <f t="shared" si="6"/>
        <v>0.8153184762243963</v>
      </c>
      <c r="O10" s="9">
        <f t="shared" si="7"/>
        <v>0.9347129091875175</v>
      </c>
      <c r="P10" s="9">
        <f>sunrise(Location!$B$4,Location!$B$5,Location!$B$6,9,A10,Location!$B$7,IF(Location!$B$8="No",0,1))</f>
        <v>0.2928962080768811</v>
      </c>
      <c r="Q10" s="9">
        <f>sunset(Location!$B$4,Location!$B$5,Location!$B$6,9,A10,Location!$B$7,IF(Location!$B$8="No",0,1))</f>
        <v>0.8153184762243963</v>
      </c>
      <c r="R10" s="9">
        <f t="shared" si="8"/>
        <v>0.5224222681475152</v>
      </c>
      <c r="S10" s="10">
        <f t="shared" si="9"/>
        <v>0.04353518901229294</v>
      </c>
      <c r="T10" s="9">
        <f t="shared" si="10"/>
        <v>23.477577731852485</v>
      </c>
      <c r="U10" s="10">
        <f t="shared" si="11"/>
        <v>0.03979814432104039</v>
      </c>
    </row>
    <row r="11" spans="1:21" ht="12.75">
      <c r="A11" s="5">
        <v>9</v>
      </c>
      <c r="B11" s="6" t="str">
        <f t="shared" si="12"/>
        <v>Wednesday</v>
      </c>
      <c r="C11" s="59"/>
      <c r="D11" s="92" t="s">
        <v>35</v>
      </c>
      <c r="E11" s="8" t="s">
        <v>36</v>
      </c>
      <c r="F11" s="6" t="s">
        <v>98</v>
      </c>
      <c r="G11" s="136"/>
      <c r="H11" s="9">
        <f t="shared" si="0"/>
        <v>12.05386694646108</v>
      </c>
      <c r="I11" s="9">
        <f t="shared" si="1"/>
        <v>6.173563177124904</v>
      </c>
      <c r="J11" s="9">
        <f t="shared" si="2"/>
        <v>0.2932594077887288</v>
      </c>
      <c r="K11" s="9">
        <f t="shared" si="3"/>
        <v>0.4235631771249043</v>
      </c>
      <c r="L11" s="9">
        <f t="shared" si="4"/>
        <v>0.5538669464610799</v>
      </c>
      <c r="M11" s="9">
        <f t="shared" si="5"/>
        <v>0.6841707157972554</v>
      </c>
      <c r="N11" s="9">
        <f t="shared" si="6"/>
        <v>0.8144744851334309</v>
      </c>
      <c r="O11" s="9">
        <f t="shared" si="7"/>
        <v>0.9341707157972553</v>
      </c>
      <c r="P11" s="9">
        <f>sunrise(Location!$B$4,Location!$B$5,Location!$B$6,9,A11,Location!$B$7,IF(Location!$B$8="No",0,1))</f>
        <v>0.2932594077887288</v>
      </c>
      <c r="Q11" s="9">
        <f>sunset(Location!$B$4,Location!$B$5,Location!$B$6,9,A11,Location!$B$7,IF(Location!$B$8="No",0,1))</f>
        <v>0.8144744851334309</v>
      </c>
      <c r="R11" s="9">
        <f t="shared" si="8"/>
        <v>0.5212150773447022</v>
      </c>
      <c r="S11" s="10">
        <f t="shared" si="9"/>
        <v>0.043434589778725184</v>
      </c>
      <c r="T11" s="9">
        <f t="shared" si="10"/>
        <v>23.478784922655297</v>
      </c>
      <c r="U11" s="10">
        <f t="shared" si="11"/>
        <v>0.039898743554608145</v>
      </c>
    </row>
    <row r="12" spans="1:21" ht="12.75">
      <c r="A12" s="5">
        <v>10</v>
      </c>
      <c r="B12" s="6" t="str">
        <f t="shared" si="12"/>
        <v>Thursday</v>
      </c>
      <c r="C12" s="59"/>
      <c r="D12" s="92" t="s">
        <v>38</v>
      </c>
      <c r="E12" s="8" t="s">
        <v>17</v>
      </c>
      <c r="F12" s="6" t="s">
        <v>99</v>
      </c>
      <c r="G12" s="136"/>
      <c r="H12" s="9">
        <f t="shared" si="0"/>
        <v>12.05362490849833</v>
      </c>
      <c r="I12" s="9">
        <f t="shared" si="1"/>
        <v>6.173623561132287</v>
      </c>
      <c r="J12" s="9">
        <f t="shared" si="2"/>
        <v>0.29362221376624426</v>
      </c>
      <c r="K12" s="9">
        <f t="shared" si="3"/>
        <v>0.4236235611322875</v>
      </c>
      <c r="L12" s="9">
        <f t="shared" si="4"/>
        <v>0.5536249084983307</v>
      </c>
      <c r="M12" s="9">
        <f t="shared" si="5"/>
        <v>0.6836262558643739</v>
      </c>
      <c r="N12" s="9">
        <f t="shared" si="6"/>
        <v>0.813627603230417</v>
      </c>
      <c r="O12" s="9">
        <f t="shared" si="7"/>
        <v>0.9336262558643739</v>
      </c>
      <c r="P12" s="9">
        <f>sunrise(Location!$B$4,Location!$B$5,Location!$B$6,9,A12,Location!$B$7,IF(Location!$B$8="No",0,1))</f>
        <v>0.29362221376624426</v>
      </c>
      <c r="Q12" s="9">
        <f>sunset(Location!$B$4,Location!$B$5,Location!$B$6,9,A12,Location!$B$7,IF(Location!$B$8="No",0,1))</f>
        <v>0.813627603230417</v>
      </c>
      <c r="R12" s="9">
        <f t="shared" si="8"/>
        <v>0.5200053894641727</v>
      </c>
      <c r="S12" s="10">
        <f t="shared" si="9"/>
        <v>0.043333782455347726</v>
      </c>
      <c r="T12" s="9">
        <f t="shared" si="10"/>
        <v>23.479994610535826</v>
      </c>
      <c r="U12" s="10">
        <f t="shared" si="11"/>
        <v>0.0399995508779856</v>
      </c>
    </row>
    <row r="13" spans="1:21" ht="12.75">
      <c r="A13" s="5">
        <v>11</v>
      </c>
      <c r="B13" s="6" t="str">
        <f t="shared" si="12"/>
        <v>Friday</v>
      </c>
      <c r="C13" s="59"/>
      <c r="D13" s="7"/>
      <c r="E13" s="8" t="s">
        <v>21</v>
      </c>
      <c r="F13" s="6" t="s">
        <v>101</v>
      </c>
      <c r="G13" s="136"/>
      <c r="H13" s="9">
        <f t="shared" si="0"/>
        <v>12.053381442349577</v>
      </c>
      <c r="I13" s="9">
        <f t="shared" si="1"/>
        <v>6.1736830953710955</v>
      </c>
      <c r="J13" s="9">
        <f t="shared" si="2"/>
        <v>0.2939847483926133</v>
      </c>
      <c r="K13" s="9">
        <f t="shared" si="3"/>
        <v>0.4236830953710957</v>
      </c>
      <c r="L13" s="9">
        <f t="shared" si="4"/>
        <v>0.5533814423495782</v>
      </c>
      <c r="M13" s="9">
        <f t="shared" si="5"/>
        <v>0.6830797893280607</v>
      </c>
      <c r="N13" s="9">
        <f t="shared" si="6"/>
        <v>0.8127781363065432</v>
      </c>
      <c r="O13" s="9">
        <f t="shared" si="7"/>
        <v>0.9330797893280607</v>
      </c>
      <c r="P13" s="9">
        <f>sunrise(Location!$B$4,Location!$B$5,Location!$B$6,9,A13,Location!$B$7,IF(Location!$B$8="No",0,1))</f>
        <v>0.2939847483926133</v>
      </c>
      <c r="Q13" s="9">
        <f>sunset(Location!$B$4,Location!$B$5,Location!$B$6,9,A13,Location!$B$7,IF(Location!$B$8="No",0,1))</f>
        <v>0.8127781363065432</v>
      </c>
      <c r="R13" s="9">
        <f t="shared" si="8"/>
        <v>0.5187933879139299</v>
      </c>
      <c r="S13" s="10">
        <f t="shared" si="9"/>
        <v>0.043232782326160825</v>
      </c>
      <c r="T13" s="9">
        <f t="shared" si="10"/>
        <v>23.48120661208607</v>
      </c>
      <c r="U13" s="10">
        <f t="shared" si="11"/>
        <v>0.040100551007172504</v>
      </c>
    </row>
    <row r="14" spans="1:21" ht="12.75">
      <c r="A14" s="5">
        <v>12</v>
      </c>
      <c r="B14" s="6" t="str">
        <f t="shared" si="12"/>
        <v>Saturday</v>
      </c>
      <c r="C14" s="59"/>
      <c r="D14" s="92" t="s">
        <v>40</v>
      </c>
      <c r="E14" s="8" t="s">
        <v>24</v>
      </c>
      <c r="F14" s="6" t="s">
        <v>46</v>
      </c>
      <c r="G14" s="140"/>
      <c r="H14" s="9">
        <f t="shared" si="0"/>
        <v>12.053136764133962</v>
      </c>
      <c r="I14" s="9">
        <f t="shared" si="1"/>
        <v>6.173741950862373</v>
      </c>
      <c r="J14" s="9">
        <f t="shared" si="2"/>
        <v>0.2943471375907852</v>
      </c>
      <c r="K14" s="9">
        <f t="shared" si="3"/>
        <v>0.423741950862374</v>
      </c>
      <c r="L14" s="9">
        <f t="shared" si="4"/>
        <v>0.5531367641339628</v>
      </c>
      <c r="M14" s="9">
        <f t="shared" si="5"/>
        <v>0.6825315774055517</v>
      </c>
      <c r="N14" s="9">
        <f t="shared" si="6"/>
        <v>0.8119263906771406</v>
      </c>
      <c r="O14" s="9">
        <f t="shared" si="7"/>
        <v>0.9325315774055517</v>
      </c>
      <c r="P14" s="9">
        <f>sunrise(Location!$B$4,Location!$B$5,Location!$B$6,9,A14,Location!$B$7,IF(Location!$B$8="No",0,1))</f>
        <v>0.2943471375907852</v>
      </c>
      <c r="Q14" s="9">
        <f>sunset(Location!$B$4,Location!$B$5,Location!$B$6,9,A14,Location!$B$7,IF(Location!$B$8="No",0,1))</f>
        <v>0.8119263906771406</v>
      </c>
      <c r="R14" s="9">
        <f t="shared" si="8"/>
        <v>0.5175792530863554</v>
      </c>
      <c r="S14" s="10">
        <f t="shared" si="9"/>
        <v>0.043131604423862956</v>
      </c>
      <c r="T14" s="9">
        <f t="shared" si="10"/>
        <v>23.482420746913643</v>
      </c>
      <c r="U14" s="10">
        <f t="shared" si="11"/>
        <v>0.04020172890947037</v>
      </c>
    </row>
    <row r="15" spans="1:21" ht="12.75">
      <c r="A15" s="5">
        <v>13</v>
      </c>
      <c r="B15" s="6" t="str">
        <f t="shared" si="12"/>
        <v>Sunday</v>
      </c>
      <c r="C15" s="59"/>
      <c r="D15" s="92" t="s">
        <v>42</v>
      </c>
      <c r="E15" s="8" t="s">
        <v>26</v>
      </c>
      <c r="F15" s="6" t="s">
        <v>47</v>
      </c>
      <c r="G15" s="138" t="s">
        <v>312</v>
      </c>
      <c r="H15" s="9">
        <f t="shared" si="0"/>
        <v>12.052891091920705</v>
      </c>
      <c r="I15" s="9">
        <f t="shared" si="1"/>
        <v>6.173800301262442</v>
      </c>
      <c r="J15" s="9">
        <f t="shared" si="2"/>
        <v>0.2947095106041791</v>
      </c>
      <c r="K15" s="9">
        <f t="shared" si="3"/>
        <v>0.42380030126244184</v>
      </c>
      <c r="L15" s="9">
        <f t="shared" si="4"/>
        <v>0.5528910919207046</v>
      </c>
      <c r="M15" s="9">
        <f t="shared" si="5"/>
        <v>0.6819818825789674</v>
      </c>
      <c r="N15" s="9">
        <f t="shared" si="6"/>
        <v>0.8110726732372301</v>
      </c>
      <c r="O15" s="9">
        <f t="shared" si="7"/>
        <v>0.9319818825789673</v>
      </c>
      <c r="P15" s="9">
        <f>sunrise(Location!$B$4,Location!$B$5,Location!$B$6,9,A15,Location!$B$7,IF(Location!$B$8="No",0,1))</f>
        <v>0.2947095106041791</v>
      </c>
      <c r="Q15" s="9">
        <f>sunset(Location!$B$4,Location!$B$5,Location!$B$6,9,A15,Location!$B$7,IF(Location!$B$8="No",0,1))</f>
        <v>0.8110726732372301</v>
      </c>
      <c r="R15" s="9">
        <f t="shared" si="8"/>
        <v>0.5163631626330509</v>
      </c>
      <c r="S15" s="10">
        <f t="shared" si="9"/>
        <v>0.043030263552754244</v>
      </c>
      <c r="T15" s="9">
        <f t="shared" si="10"/>
        <v>23.483636837366948</v>
      </c>
      <c r="U15" s="10">
        <f t="shared" si="11"/>
        <v>0.040303069780579084</v>
      </c>
    </row>
    <row r="16" spans="1:21" ht="12.75">
      <c r="A16" s="5">
        <v>14</v>
      </c>
      <c r="B16" s="6" t="str">
        <f t="shared" si="12"/>
        <v>Monday</v>
      </c>
      <c r="C16" s="60"/>
      <c r="D16" s="7"/>
      <c r="E16" s="8" t="s">
        <v>29</v>
      </c>
      <c r="F16" s="6" t="s">
        <v>123</v>
      </c>
      <c r="G16" s="46" t="s">
        <v>146</v>
      </c>
      <c r="H16" s="9">
        <f t="shared" si="0"/>
        <v>12.052644645649268</v>
      </c>
      <c r="I16" s="9">
        <f t="shared" si="1"/>
        <v>6.173858322713227</v>
      </c>
      <c r="J16" s="9">
        <f t="shared" si="2"/>
        <v>0.29507199977718535</v>
      </c>
      <c r="K16" s="9">
        <f t="shared" si="3"/>
        <v>0.42385832271322715</v>
      </c>
      <c r="L16" s="9">
        <f t="shared" si="4"/>
        <v>0.552644645649269</v>
      </c>
      <c r="M16" s="9">
        <f t="shared" si="5"/>
        <v>0.6814309685853108</v>
      </c>
      <c r="N16" s="9">
        <f t="shared" si="6"/>
        <v>0.8102172915213526</v>
      </c>
      <c r="O16" s="9">
        <f t="shared" si="7"/>
        <v>0.9314309685853107</v>
      </c>
      <c r="P16" s="9">
        <f>sunrise(Location!$B$4,Location!$B$5,Location!$B$6,9,A16,Location!$B$7,IF(Location!$B$8="No",0,1))</f>
        <v>0.29507199977718535</v>
      </c>
      <c r="Q16" s="9">
        <f>sunset(Location!$B$4,Location!$B$5,Location!$B$6,9,A16,Location!$B$7,IF(Location!$B$8="No",0,1))</f>
        <v>0.8102172915213526</v>
      </c>
      <c r="R16" s="9">
        <f t="shared" si="8"/>
        <v>0.5151452917441672</v>
      </c>
      <c r="S16" s="10">
        <f t="shared" si="9"/>
        <v>0.04292877431201394</v>
      </c>
      <c r="T16" s="9">
        <f t="shared" si="10"/>
        <v>23.48485470825583</v>
      </c>
      <c r="U16" s="10">
        <f t="shared" si="11"/>
        <v>0.04040455902131939</v>
      </c>
    </row>
    <row r="17" spans="1:21" ht="12.75">
      <c r="A17" s="5">
        <v>15</v>
      </c>
      <c r="B17" s="6" t="str">
        <f aca="true" t="shared" si="13" ref="B17:B23">B3</f>
        <v>Tuesday</v>
      </c>
      <c r="C17" s="59"/>
      <c r="D17" s="92" t="s">
        <v>45</v>
      </c>
      <c r="E17" s="8" t="s">
        <v>32</v>
      </c>
      <c r="F17" s="6" t="s">
        <v>102</v>
      </c>
      <c r="G17" s="140"/>
      <c r="H17" s="9">
        <f t="shared" si="0"/>
        <v>12.052397647050984</v>
      </c>
      <c r="I17" s="9">
        <f t="shared" si="1"/>
        <v>6.173916193694234</v>
      </c>
      <c r="J17" s="9">
        <f t="shared" si="2"/>
        <v>0.29543474033748374</v>
      </c>
      <c r="K17" s="9">
        <f t="shared" si="3"/>
        <v>0.4239161936942334</v>
      </c>
      <c r="L17" s="9">
        <f t="shared" si="4"/>
        <v>0.552397647050983</v>
      </c>
      <c r="M17" s="9">
        <f t="shared" si="5"/>
        <v>0.6808791004077326</v>
      </c>
      <c r="N17" s="9">
        <f t="shared" si="6"/>
        <v>0.8093605537644822</v>
      </c>
      <c r="O17" s="9">
        <f t="shared" si="7"/>
        <v>0.9308791004077326</v>
      </c>
      <c r="P17" s="9">
        <f>sunrise(Location!$B$4,Location!$B$5,Location!$B$6,9,A17,Location!$B$7,IF(Location!$B$8="No",0,1))</f>
        <v>0.29543474033748374</v>
      </c>
      <c r="Q17" s="9">
        <f>sunset(Location!$B$4,Location!$B$5,Location!$B$6,9,A17,Location!$B$7,IF(Location!$B$8="No",0,1))</f>
        <v>0.8093605537644822</v>
      </c>
      <c r="R17" s="9">
        <f t="shared" si="8"/>
        <v>0.5139258134269985</v>
      </c>
      <c r="S17" s="10">
        <f t="shared" si="9"/>
        <v>0.042827151118916544</v>
      </c>
      <c r="T17" s="9">
        <f t="shared" si="10"/>
        <v>23.486074186573003</v>
      </c>
      <c r="U17" s="10">
        <f t="shared" si="11"/>
        <v>0.040506182214416785</v>
      </c>
    </row>
    <row r="18" spans="1:21" ht="12.75">
      <c r="A18" s="5">
        <v>16</v>
      </c>
      <c r="B18" s="6" t="str">
        <f t="shared" si="13"/>
        <v>Wednesday</v>
      </c>
      <c r="C18" s="59"/>
      <c r="D18" s="7"/>
      <c r="E18" s="8" t="s">
        <v>36</v>
      </c>
      <c r="F18" s="6" t="s">
        <v>103</v>
      </c>
      <c r="G18" s="136"/>
      <c r="H18" s="9">
        <f t="shared" si="0"/>
        <v>12.052150319573427</v>
      </c>
      <c r="I18" s="9">
        <f t="shared" si="1"/>
        <v>6.173974094874929</v>
      </c>
      <c r="J18" s="9">
        <f t="shared" si="2"/>
        <v>0.2957978701764303</v>
      </c>
      <c r="K18" s="9">
        <f t="shared" si="3"/>
        <v>0.4239740948749281</v>
      </c>
      <c r="L18" s="9">
        <f t="shared" si="4"/>
        <v>0.5521503195734259</v>
      </c>
      <c r="M18" s="9">
        <f t="shared" si="5"/>
        <v>0.6803265442719237</v>
      </c>
      <c r="N18" s="9">
        <f t="shared" si="6"/>
        <v>0.8085027689704215</v>
      </c>
      <c r="O18" s="9">
        <f t="shared" si="7"/>
        <v>0.9303265442719236</v>
      </c>
      <c r="P18" s="9">
        <f>sunrise(Location!$B$4,Location!$B$5,Location!$B$6,9,A18,Location!$B$7,IF(Location!$B$8="No",0,1))</f>
        <v>0.2957978701764303</v>
      </c>
      <c r="Q18" s="9">
        <f>sunset(Location!$B$4,Location!$B$5,Location!$B$6,9,A18,Location!$B$7,IF(Location!$B$8="No",0,1))</f>
        <v>0.8085027689704215</v>
      </c>
      <c r="R18" s="9">
        <f t="shared" si="8"/>
        <v>0.5127048987939913</v>
      </c>
      <c r="S18" s="10">
        <f t="shared" si="9"/>
        <v>0.04272540823283261</v>
      </c>
      <c r="T18" s="9">
        <f t="shared" si="10"/>
        <v>23.48729510120601</v>
      </c>
      <c r="U18" s="10">
        <f t="shared" si="11"/>
        <v>0.04060792510050072</v>
      </c>
    </row>
    <row r="19" spans="1:21" ht="12.75">
      <c r="A19" s="5">
        <v>17</v>
      </c>
      <c r="B19" s="6" t="str">
        <f t="shared" si="13"/>
        <v>Thursday</v>
      </c>
      <c r="C19" s="59"/>
      <c r="D19" s="92" t="s">
        <v>48</v>
      </c>
      <c r="E19" s="8" t="s">
        <v>17</v>
      </c>
      <c r="F19" s="6" t="s">
        <v>105</v>
      </c>
      <c r="G19" s="140"/>
      <c r="H19" s="9">
        <f t="shared" si="0"/>
        <v>12.051902888303314</v>
      </c>
      <c r="I19" s="9">
        <f t="shared" si="1"/>
        <v>6.1740322089661275</v>
      </c>
      <c r="J19" s="9">
        <f t="shared" si="2"/>
        <v>0.2961615296289417</v>
      </c>
      <c r="K19" s="9">
        <f t="shared" si="3"/>
        <v>0.42403220896612737</v>
      </c>
      <c r="L19" s="9">
        <f t="shared" si="4"/>
        <v>0.551902888303313</v>
      </c>
      <c r="M19" s="9">
        <f t="shared" si="5"/>
        <v>0.6797735676404986</v>
      </c>
      <c r="N19" s="9">
        <f t="shared" si="6"/>
        <v>0.8076442469776842</v>
      </c>
      <c r="O19" s="9">
        <f t="shared" si="7"/>
        <v>0.9297735676404986</v>
      </c>
      <c r="P19" s="9">
        <f>sunrise(Location!$B$4,Location!$B$5,Location!$B$6,9,A19,Location!$B$7,IF(Location!$B$8="No",0,1))</f>
        <v>0.2961615296289417</v>
      </c>
      <c r="Q19" s="9">
        <f>sunset(Location!$B$4,Location!$B$5,Location!$B$6,9,A19,Location!$B$7,IF(Location!$B$8="No",0,1))</f>
        <v>0.8076442469776842</v>
      </c>
      <c r="R19" s="9">
        <f t="shared" si="8"/>
        <v>0.5114827173487425</v>
      </c>
      <c r="S19" s="10">
        <f t="shared" si="9"/>
        <v>0.042623559779061876</v>
      </c>
      <c r="T19" s="9">
        <f t="shared" si="10"/>
        <v>23.48851728265126</v>
      </c>
      <c r="U19" s="10">
        <f t="shared" si="11"/>
        <v>0.04070977355427145</v>
      </c>
    </row>
    <row r="20" spans="1:21" ht="12.75">
      <c r="A20" s="5">
        <v>18</v>
      </c>
      <c r="B20" s="6" t="str">
        <f t="shared" si="13"/>
        <v>Friday</v>
      </c>
      <c r="C20" s="59"/>
      <c r="D20" s="92" t="s">
        <v>50</v>
      </c>
      <c r="E20" s="8" t="s">
        <v>21</v>
      </c>
      <c r="F20" s="6" t="s">
        <v>107</v>
      </c>
      <c r="G20" s="140"/>
      <c r="H20" s="9">
        <f t="shared" si="0"/>
        <v>12.051655579889925</v>
      </c>
      <c r="I20" s="9">
        <f t="shared" si="1"/>
        <v>6.174090720571273</v>
      </c>
      <c r="J20" s="9">
        <f t="shared" si="2"/>
        <v>0.2965258612526224</v>
      </c>
      <c r="K20" s="9">
        <f t="shared" si="3"/>
        <v>0.4240907205712736</v>
      </c>
      <c r="L20" s="9">
        <f t="shared" si="4"/>
        <v>0.5516555798899248</v>
      </c>
      <c r="M20" s="9">
        <f t="shared" si="5"/>
        <v>0.6792204392085759</v>
      </c>
      <c r="N20" s="9">
        <f t="shared" si="6"/>
        <v>0.806785298527227</v>
      </c>
      <c r="O20" s="9">
        <f t="shared" si="7"/>
        <v>0.9292204392085759</v>
      </c>
      <c r="P20" s="9">
        <f>sunrise(Location!$B$4,Location!$B$5,Location!$B$6,9,A20,Location!$B$7,IF(Location!$B$8="No",0,1))</f>
        <v>0.2965258612526224</v>
      </c>
      <c r="Q20" s="9">
        <f>sunset(Location!$B$4,Location!$B$5,Location!$B$6,9,A20,Location!$B$7,IF(Location!$B$8="No",0,1))</f>
        <v>0.806785298527227</v>
      </c>
      <c r="R20" s="9">
        <f t="shared" si="8"/>
        <v>0.5102594372746045</v>
      </c>
      <c r="S20" s="10">
        <f t="shared" si="9"/>
        <v>0.04252161977288371</v>
      </c>
      <c r="T20" s="9">
        <f t="shared" si="10"/>
        <v>23.489740562725395</v>
      </c>
      <c r="U20" s="10">
        <f t="shared" si="11"/>
        <v>0.04081171356044962</v>
      </c>
    </row>
    <row r="21" spans="1:21" ht="12.75">
      <c r="A21" s="5">
        <v>19</v>
      </c>
      <c r="B21" s="6" t="str">
        <f t="shared" si="13"/>
        <v>Saturday</v>
      </c>
      <c r="C21" s="59"/>
      <c r="D21" s="7"/>
      <c r="E21" s="8" t="s">
        <v>24</v>
      </c>
      <c r="F21" s="6" t="s">
        <v>108</v>
      </c>
      <c r="G21" s="140"/>
      <c r="H21" s="9">
        <f t="shared" si="0"/>
        <v>12.051408622468092</v>
      </c>
      <c r="I21" s="9">
        <f t="shared" si="1"/>
        <v>6.174149816035528</v>
      </c>
      <c r="J21" s="9">
        <f t="shared" si="2"/>
        <v>0.29689100960296355</v>
      </c>
      <c r="K21" s="9">
        <f t="shared" si="3"/>
        <v>0.4241498160355278</v>
      </c>
      <c r="L21" s="9">
        <f t="shared" si="4"/>
        <v>0.5514086224680921</v>
      </c>
      <c r="M21" s="9">
        <f t="shared" si="5"/>
        <v>0.6786674289006565</v>
      </c>
      <c r="N21" s="9">
        <f t="shared" si="6"/>
        <v>0.8059262353332207</v>
      </c>
      <c r="O21" s="9">
        <f t="shared" si="7"/>
        <v>0.9286674289006565</v>
      </c>
      <c r="P21" s="9">
        <f>sunrise(Location!$B$4,Location!$B$5,Location!$B$6,9,A21,Location!$B$7,IF(Location!$B$8="No",0,1))</f>
        <v>0.29689100960296355</v>
      </c>
      <c r="Q21" s="9">
        <f>sunset(Location!$B$4,Location!$B$5,Location!$B$6,9,A21,Location!$B$7,IF(Location!$B$8="No",0,1))</f>
        <v>0.8059262353332207</v>
      </c>
      <c r="R21" s="9">
        <f t="shared" si="8"/>
        <v>0.5090352257302572</v>
      </c>
      <c r="S21" s="10">
        <f t="shared" si="9"/>
        <v>0.0424196021441881</v>
      </c>
      <c r="T21" s="9">
        <f t="shared" si="10"/>
        <v>23.49096477426974</v>
      </c>
      <c r="U21" s="10">
        <f t="shared" si="11"/>
        <v>0.04091373118914523</v>
      </c>
    </row>
    <row r="22" spans="1:21" ht="12.75">
      <c r="A22" s="5">
        <v>20</v>
      </c>
      <c r="B22" s="6" t="str">
        <f t="shared" si="13"/>
        <v>Sunday</v>
      </c>
      <c r="C22" s="59"/>
      <c r="D22" s="92" t="s">
        <v>53</v>
      </c>
      <c r="E22" s="8" t="s">
        <v>26</v>
      </c>
      <c r="F22" s="6" t="s">
        <v>110</v>
      </c>
      <c r="G22" s="138" t="s">
        <v>313</v>
      </c>
      <c r="H22" s="9">
        <f t="shared" si="0"/>
        <v>12.051162245577707</v>
      </c>
      <c r="I22" s="9">
        <f t="shared" si="1"/>
        <v>6.174209683292358</v>
      </c>
      <c r="J22" s="9">
        <f t="shared" si="2"/>
        <v>0.29725712100700946</v>
      </c>
      <c r="K22" s="9">
        <f t="shared" si="3"/>
        <v>0.4242096832923591</v>
      </c>
      <c r="L22" s="9">
        <f t="shared" si="4"/>
        <v>0.5511622455777088</v>
      </c>
      <c r="M22" s="9">
        <f t="shared" si="5"/>
        <v>0.6781148078630583</v>
      </c>
      <c r="N22" s="9">
        <f t="shared" si="6"/>
        <v>0.8050673701484079</v>
      </c>
      <c r="O22" s="9">
        <f t="shared" si="7"/>
        <v>0.9281148078630582</v>
      </c>
      <c r="P22" s="9">
        <f>sunrise(Location!$B$4,Location!$B$5,Location!$B$6,9,A22,Location!$B$7,IF(Location!$B$8="No",0,1))</f>
        <v>0.29725712100700946</v>
      </c>
      <c r="Q22" s="9">
        <f>sunset(Location!$B$4,Location!$B$5,Location!$B$6,9,A22,Location!$B$7,IF(Location!$B$8="No",0,1))</f>
        <v>0.8050673701484079</v>
      </c>
      <c r="R22" s="9">
        <f t="shared" si="8"/>
        <v>0.5078102491413985</v>
      </c>
      <c r="S22" s="10">
        <f t="shared" si="9"/>
        <v>0.04231752076178321</v>
      </c>
      <c r="T22" s="9">
        <f t="shared" si="10"/>
        <v>23.4921897508586</v>
      </c>
      <c r="U22" s="10">
        <f t="shared" si="11"/>
        <v>0.04101581257155012</v>
      </c>
    </row>
    <row r="23" spans="1:21" ht="12.75">
      <c r="A23" s="5">
        <v>21</v>
      </c>
      <c r="B23" s="6" t="str">
        <f t="shared" si="13"/>
        <v>Monday</v>
      </c>
      <c r="C23" s="59"/>
      <c r="D23" s="92" t="s">
        <v>55</v>
      </c>
      <c r="E23" s="8" t="s">
        <v>29</v>
      </c>
      <c r="F23" s="6" t="s">
        <v>111</v>
      </c>
      <c r="G23" s="47" t="s">
        <v>226</v>
      </c>
      <c r="H23" s="9">
        <f t="shared" si="0"/>
        <v>12.050916680084056</v>
      </c>
      <c r="I23" s="9">
        <f t="shared" si="1"/>
        <v>6.17427051170886</v>
      </c>
      <c r="J23" s="9">
        <f t="shared" si="2"/>
        <v>0.297624343333664</v>
      </c>
      <c r="K23" s="9">
        <f t="shared" si="3"/>
        <v>0.4242705117088602</v>
      </c>
      <c r="L23" s="9">
        <f t="shared" si="4"/>
        <v>0.5509166800840564</v>
      </c>
      <c r="M23" s="9">
        <f t="shared" si="5"/>
        <v>0.6775628484592524</v>
      </c>
      <c r="N23" s="9">
        <f t="shared" si="6"/>
        <v>0.8042090168344486</v>
      </c>
      <c r="O23" s="9">
        <f t="shared" si="7"/>
        <v>0.9275628484592524</v>
      </c>
      <c r="P23" s="9">
        <f>sunrise(Location!$B$4,Location!$B$5,Location!$B$6,9,A23,Location!$B$7,IF(Location!$B$8="No",0,1))</f>
        <v>0.297624343333664</v>
      </c>
      <c r="Q23" s="9">
        <f>sunset(Location!$B$4,Location!$B$5,Location!$B$6,9,A23,Location!$B$7,IF(Location!$B$8="No",0,1))</f>
        <v>0.8042090168344486</v>
      </c>
      <c r="R23" s="9">
        <f t="shared" si="8"/>
        <v>0.5065846735007846</v>
      </c>
      <c r="S23" s="10">
        <f t="shared" si="9"/>
        <v>0.04221538945839872</v>
      </c>
      <c r="T23" s="9">
        <f t="shared" si="10"/>
        <v>23.493415326499214</v>
      </c>
      <c r="U23" s="10">
        <f t="shared" si="11"/>
        <v>0.04111794387493461</v>
      </c>
    </row>
    <row r="24" spans="1:21" ht="12.75">
      <c r="A24" s="5">
        <v>22</v>
      </c>
      <c r="B24" s="6" t="str">
        <f aca="true" t="shared" si="14" ref="B24:B30">B3</f>
        <v>Tuesday</v>
      </c>
      <c r="C24" s="59"/>
      <c r="D24" s="7"/>
      <c r="E24" s="8" t="s">
        <v>32</v>
      </c>
      <c r="F24" s="6" t="s">
        <v>112</v>
      </c>
      <c r="G24" s="136"/>
      <c r="H24" s="9">
        <f t="shared" si="0"/>
        <v>12.050672158089874</v>
      </c>
      <c r="I24" s="9">
        <f t="shared" si="1"/>
        <v>6.174332491923814</v>
      </c>
      <c r="J24" s="9">
        <f t="shared" si="2"/>
        <v>0.2979928257577541</v>
      </c>
      <c r="K24" s="9">
        <f t="shared" si="3"/>
        <v>0.42433249192381467</v>
      </c>
      <c r="L24" s="9">
        <f t="shared" si="4"/>
        <v>0.5506721580898752</v>
      </c>
      <c r="M24" s="9">
        <f t="shared" si="5"/>
        <v>0.6770118242559358</v>
      </c>
      <c r="N24" s="9">
        <f t="shared" si="6"/>
        <v>0.8033514904219964</v>
      </c>
      <c r="O24" s="9">
        <f t="shared" si="7"/>
        <v>0.9270118242559358</v>
      </c>
      <c r="P24" s="9">
        <f>sunrise(Location!$B$4,Location!$B$5,Location!$B$6,9,A24,Location!$B$7,IF(Location!$B$8="No",0,1))</f>
        <v>0.2979928257577541</v>
      </c>
      <c r="Q24" s="9">
        <f>sunset(Location!$B$4,Location!$B$5,Location!$B$6,9,A24,Location!$B$7,IF(Location!$B$8="No",0,1))</f>
        <v>0.8033514904219964</v>
      </c>
      <c r="R24" s="9">
        <f t="shared" si="8"/>
        <v>0.5053586646642423</v>
      </c>
      <c r="S24" s="10">
        <f t="shared" si="9"/>
        <v>0.042113222055353526</v>
      </c>
      <c r="T24" s="9">
        <f t="shared" si="10"/>
        <v>23.494641335335757</v>
      </c>
      <c r="U24" s="10">
        <f t="shared" si="11"/>
        <v>0.0412201112779798</v>
      </c>
    </row>
    <row r="25" spans="1:21" ht="12.75">
      <c r="A25" s="5">
        <v>23</v>
      </c>
      <c r="B25" s="6" t="str">
        <f t="shared" si="14"/>
        <v>Wednesday</v>
      </c>
      <c r="C25" s="59"/>
      <c r="D25" s="92" t="s">
        <v>59</v>
      </c>
      <c r="E25" s="8" t="s">
        <v>36</v>
      </c>
      <c r="F25" s="6" t="s">
        <v>113</v>
      </c>
      <c r="G25" s="136"/>
      <c r="H25" s="9">
        <f t="shared" si="0"/>
        <v>12.05042891284913</v>
      </c>
      <c r="I25" s="9">
        <f t="shared" si="1"/>
        <v>6.174395815685637</v>
      </c>
      <c r="J25" s="9">
        <f t="shared" si="2"/>
        <v>0.29836271852214397</v>
      </c>
      <c r="K25" s="9">
        <f t="shared" si="3"/>
        <v>0.4243958156856362</v>
      </c>
      <c r="L25" s="9">
        <f t="shared" si="4"/>
        <v>0.5504289128491284</v>
      </c>
      <c r="M25" s="9">
        <f t="shared" si="5"/>
        <v>0.6764620100126207</v>
      </c>
      <c r="N25" s="9">
        <f t="shared" si="6"/>
        <v>0.802495107176113</v>
      </c>
      <c r="O25" s="9">
        <f t="shared" si="7"/>
        <v>0.9264620100126209</v>
      </c>
      <c r="P25" s="9">
        <f>sunrise(Location!$B$4,Location!$B$5,Location!$B$6,9,A25,Location!$B$7,IF(Location!$B$8="No",0,1))</f>
        <v>0.29836271852214397</v>
      </c>
      <c r="Q25" s="9">
        <f>sunset(Location!$B$4,Location!$B$5,Location!$B$6,9,A25,Location!$B$7,IF(Location!$B$8="No",0,1))</f>
        <v>0.802495107176113</v>
      </c>
      <c r="R25" s="9">
        <f t="shared" si="8"/>
        <v>0.504132388653969</v>
      </c>
      <c r="S25" s="10">
        <f t="shared" si="9"/>
        <v>0.04201103238783075</v>
      </c>
      <c r="T25" s="9">
        <f t="shared" si="10"/>
        <v>23.495867611346032</v>
      </c>
      <c r="U25" s="10">
        <f t="shared" si="11"/>
        <v>0.04132230094550258</v>
      </c>
    </row>
    <row r="26" spans="1:21" ht="12.75">
      <c r="A26" s="5">
        <v>24</v>
      </c>
      <c r="B26" s="6" t="str">
        <f t="shared" si="14"/>
        <v>Thursday</v>
      </c>
      <c r="C26" s="59"/>
      <c r="D26" s="92" t="s">
        <v>61</v>
      </c>
      <c r="E26" s="8" t="s">
        <v>17</v>
      </c>
      <c r="F26" s="6" t="s">
        <v>114</v>
      </c>
      <c r="G26" s="136"/>
      <c r="H26" s="9">
        <f t="shared" si="0"/>
        <v>12.050187178671454</v>
      </c>
      <c r="I26" s="9">
        <f t="shared" si="1"/>
        <v>6.174460675681877</v>
      </c>
      <c r="J26" s="9">
        <f t="shared" si="2"/>
        <v>0.29873417269230146</v>
      </c>
      <c r="K26" s="9">
        <f t="shared" si="3"/>
        <v>0.4244606756818773</v>
      </c>
      <c r="L26" s="9">
        <f t="shared" si="4"/>
        <v>0.5501871786714532</v>
      </c>
      <c r="M26" s="9">
        <f t="shared" si="5"/>
        <v>0.6759136816610289</v>
      </c>
      <c r="N26" s="9">
        <f t="shared" si="6"/>
        <v>0.8016401846506047</v>
      </c>
      <c r="O26" s="9">
        <f t="shared" si="7"/>
        <v>0.9259136816610288</v>
      </c>
      <c r="P26" s="9">
        <f>sunrise(Location!$B$4,Location!$B$5,Location!$B$6,9,A26,Location!$B$7,IF(Location!$B$8="No",0,1))</f>
        <v>0.29873417269230146</v>
      </c>
      <c r="Q26" s="9">
        <f>sunset(Location!$B$4,Location!$B$5,Location!$B$6,9,A26,Location!$B$7,IF(Location!$B$8="No",0,1))</f>
        <v>0.8016401846506047</v>
      </c>
      <c r="R26" s="9">
        <f t="shared" si="8"/>
        <v>0.5029060119583033</v>
      </c>
      <c r="S26" s="10">
        <f t="shared" si="9"/>
        <v>0.04190883432985861</v>
      </c>
      <c r="T26" s="9">
        <f t="shared" si="10"/>
        <v>23.497093988041698</v>
      </c>
      <c r="U26" s="10">
        <f t="shared" si="11"/>
        <v>0.04142449900347472</v>
      </c>
    </row>
    <row r="27" spans="1:21" ht="12.75">
      <c r="A27" s="5">
        <v>25</v>
      </c>
      <c r="B27" s="6" t="str">
        <f t="shared" si="14"/>
        <v>Friday</v>
      </c>
      <c r="C27" s="59"/>
      <c r="D27" s="7"/>
      <c r="E27" s="8" t="s">
        <v>21</v>
      </c>
      <c r="F27" s="6" t="s">
        <v>116</v>
      </c>
      <c r="G27" s="136"/>
      <c r="H27" s="9">
        <f t="shared" si="0"/>
        <v>12.049947190824286</v>
      </c>
      <c r="I27" s="9">
        <f t="shared" si="1"/>
        <v>6.174527265364591</v>
      </c>
      <c r="J27" s="9">
        <f t="shared" si="2"/>
        <v>0.29910733990489663</v>
      </c>
      <c r="K27" s="9">
        <f t="shared" si="3"/>
        <v>0.4245272653645913</v>
      </c>
      <c r="L27" s="9">
        <f t="shared" si="4"/>
        <v>0.5499471908242859</v>
      </c>
      <c r="M27" s="9">
        <f t="shared" si="5"/>
        <v>0.6753671162839805</v>
      </c>
      <c r="N27" s="9">
        <f t="shared" si="6"/>
        <v>0.8007870417436752</v>
      </c>
      <c r="O27" s="9">
        <f t="shared" si="7"/>
        <v>0.9253671162839805</v>
      </c>
      <c r="P27" s="9">
        <f>sunrise(Location!$B$4,Location!$B$5,Location!$B$6,9,A27,Location!$B$7,IF(Location!$B$8="No",0,1))</f>
        <v>0.29910733990489663</v>
      </c>
      <c r="Q27" s="9">
        <f>sunset(Location!$B$4,Location!$B$5,Location!$B$6,9,A27,Location!$B$7,IF(Location!$B$8="No",0,1))</f>
        <v>0.8007870417436752</v>
      </c>
      <c r="R27" s="9">
        <f t="shared" si="8"/>
        <v>0.5016797018387786</v>
      </c>
      <c r="S27" s="10">
        <f t="shared" si="9"/>
        <v>0.04180664181989822</v>
      </c>
      <c r="T27" s="9">
        <f t="shared" si="10"/>
        <v>23.49832029816122</v>
      </c>
      <c r="U27" s="10">
        <f t="shared" si="11"/>
        <v>0.04152669151343511</v>
      </c>
    </row>
    <row r="28" spans="1:21" ht="12.75">
      <c r="A28" s="5">
        <v>26</v>
      </c>
      <c r="B28" s="6" t="str">
        <f t="shared" si="14"/>
        <v>Saturday</v>
      </c>
      <c r="C28" s="59"/>
      <c r="D28" s="92" t="s">
        <v>64</v>
      </c>
      <c r="E28" s="8" t="s">
        <v>24</v>
      </c>
      <c r="F28" s="6" t="s">
        <v>117</v>
      </c>
      <c r="G28" s="140"/>
      <c r="H28" s="9">
        <f t="shared" si="0"/>
        <v>12.049709185426599</v>
      </c>
      <c r="I28" s="9">
        <f t="shared" si="1"/>
        <v>6.174595778768818</v>
      </c>
      <c r="J28" s="9">
        <f t="shared" si="2"/>
        <v>0.29948237211103884</v>
      </c>
      <c r="K28" s="9">
        <f t="shared" si="3"/>
        <v>0.42459577876881893</v>
      </c>
      <c r="L28" s="9">
        <f t="shared" si="4"/>
        <v>0.549709185426599</v>
      </c>
      <c r="M28" s="9">
        <f t="shared" si="5"/>
        <v>0.6748225920843791</v>
      </c>
      <c r="N28" s="9">
        <f t="shared" si="6"/>
        <v>0.7999359987421593</v>
      </c>
      <c r="O28" s="9">
        <f t="shared" si="7"/>
        <v>0.9248225920843791</v>
      </c>
      <c r="P28" s="9">
        <f>sunrise(Location!$B$4,Location!$B$5,Location!$B$6,9,A28,Location!$B$7,IF(Location!$B$8="No",0,1))</f>
        <v>0.29948237211103884</v>
      </c>
      <c r="Q28" s="9">
        <f>sunset(Location!$B$4,Location!$B$5,Location!$B$6,9,A28,Location!$B$7,IF(Location!$B$8="No",0,1))</f>
        <v>0.7999359987421593</v>
      </c>
      <c r="R28" s="9">
        <f t="shared" si="8"/>
        <v>0.5004536266311204</v>
      </c>
      <c r="S28" s="10">
        <f t="shared" si="9"/>
        <v>0.041704468885926695</v>
      </c>
      <c r="T28" s="9">
        <f t="shared" si="10"/>
        <v>23.49954637336888</v>
      </c>
      <c r="U28" s="10">
        <f t="shared" si="11"/>
        <v>0.041628864447406634</v>
      </c>
    </row>
    <row r="29" spans="1:21" ht="12.75">
      <c r="A29" s="5">
        <v>27</v>
      </c>
      <c r="B29" s="6" t="str">
        <f t="shared" si="14"/>
        <v>Sunday</v>
      </c>
      <c r="C29" s="59"/>
      <c r="D29" s="92" t="s">
        <v>67</v>
      </c>
      <c r="E29" s="8" t="s">
        <v>26</v>
      </c>
      <c r="F29" s="6" t="s">
        <v>118</v>
      </c>
      <c r="G29" s="138" t="s">
        <v>314</v>
      </c>
      <c r="H29" s="9">
        <f t="shared" si="0"/>
        <v>12.049473399337705</v>
      </c>
      <c r="I29" s="9">
        <f t="shared" si="1"/>
        <v>6.174666410323991</v>
      </c>
      <c r="J29" s="9">
        <f t="shared" si="2"/>
        <v>0.299859421310277</v>
      </c>
      <c r="K29" s="9">
        <f t="shared" si="3"/>
        <v>0.4246664103239915</v>
      </c>
      <c r="L29" s="9">
        <f t="shared" si="4"/>
        <v>0.549473399337706</v>
      </c>
      <c r="M29" s="9">
        <f t="shared" si="5"/>
        <v>0.6742803883514206</v>
      </c>
      <c r="N29" s="9">
        <f t="shared" si="6"/>
        <v>0.799087377365135</v>
      </c>
      <c r="O29" s="9">
        <f t="shared" si="7"/>
        <v>0.9242803883514206</v>
      </c>
      <c r="P29" s="9">
        <f>sunrise(Location!$B$4,Location!$B$5,Location!$B$6,9,A29,Location!$B$7,IF(Location!$B$8="No",0,1))</f>
        <v>0.299859421310277</v>
      </c>
      <c r="Q29" s="9">
        <f>sunset(Location!$B$4,Location!$B$5,Location!$B$6,9,A29,Location!$B$7,IF(Location!$B$8="No",0,1))</f>
        <v>0.799087377365135</v>
      </c>
      <c r="R29" s="9">
        <f t="shared" si="8"/>
        <v>0.49922795605485804</v>
      </c>
      <c r="S29" s="10">
        <f t="shared" si="9"/>
        <v>0.04160232967123817</v>
      </c>
      <c r="T29" s="9">
        <f t="shared" si="10"/>
        <v>23.50077204394514</v>
      </c>
      <c r="U29" s="10">
        <f t="shared" si="11"/>
        <v>0.04173100366209516</v>
      </c>
    </row>
    <row r="30" spans="1:21" ht="12.75">
      <c r="A30" s="5">
        <v>28</v>
      </c>
      <c r="B30" s="6" t="str">
        <f t="shared" si="14"/>
        <v>Monday</v>
      </c>
      <c r="C30" s="59"/>
      <c r="D30" s="92" t="s">
        <v>69</v>
      </c>
      <c r="E30" s="8" t="s">
        <v>29</v>
      </c>
      <c r="F30" s="6" t="s">
        <v>119</v>
      </c>
      <c r="G30" s="136"/>
      <c r="H30" s="9">
        <f t="shared" si="0"/>
        <v>12.049240070037845</v>
      </c>
      <c r="I30" s="9">
        <f t="shared" si="1"/>
        <v>6.174739354658061</v>
      </c>
      <c r="J30" s="9">
        <f t="shared" si="2"/>
        <v>0.30023863927827754</v>
      </c>
      <c r="K30" s="9">
        <f t="shared" si="3"/>
        <v>0.4247393546580615</v>
      </c>
      <c r="L30" s="9">
        <f t="shared" si="4"/>
        <v>0.5492400700378455</v>
      </c>
      <c r="M30" s="9">
        <f t="shared" si="5"/>
        <v>0.6737407854176295</v>
      </c>
      <c r="N30" s="9">
        <f t="shared" si="6"/>
        <v>0.7982415007974135</v>
      </c>
      <c r="O30" s="9">
        <f t="shared" si="7"/>
        <v>0.9237407854176295</v>
      </c>
      <c r="P30" s="9">
        <f>sunrise(Location!$B$4,Location!$B$5,Location!$B$6,9,A30,Location!$B$7,IF(Location!$B$8="No",0,1))</f>
        <v>0.30023863927827754</v>
      </c>
      <c r="Q30" s="9">
        <f>sunset(Location!$B$4,Location!$B$5,Location!$B$6,9,A30,Location!$B$7,IF(Location!$B$8="No",0,1))</f>
        <v>0.7982415007974135</v>
      </c>
      <c r="R30" s="9">
        <f t="shared" si="8"/>
        <v>0.498002861519136</v>
      </c>
      <c r="S30" s="10">
        <f t="shared" si="9"/>
        <v>0.041500238459928</v>
      </c>
      <c r="T30" s="9">
        <f t="shared" si="10"/>
        <v>23.501997138480863</v>
      </c>
      <c r="U30" s="10">
        <f t="shared" si="11"/>
        <v>0.04183309487340533</v>
      </c>
    </row>
    <row r="31" spans="1:21" ht="12.75">
      <c r="A31" s="5">
        <v>29</v>
      </c>
      <c r="B31" s="6" t="str">
        <f>B3</f>
        <v>Tuesday</v>
      </c>
      <c r="C31" s="59"/>
      <c r="D31" s="7"/>
      <c r="E31" s="8" t="s">
        <v>32</v>
      </c>
      <c r="F31" s="6" t="s">
        <v>120</v>
      </c>
      <c r="G31" s="45" t="s">
        <v>241</v>
      </c>
      <c r="H31" s="9">
        <f t="shared" si="0"/>
        <v>12.049009435500825</v>
      </c>
      <c r="I31" s="9">
        <f t="shared" si="1"/>
        <v>6.174814806392939</v>
      </c>
      <c r="J31" s="9">
        <f t="shared" si="2"/>
        <v>0.3006201772850521</v>
      </c>
      <c r="K31" s="9">
        <f t="shared" si="3"/>
        <v>0.4248148063929382</v>
      </c>
      <c r="L31" s="9">
        <f t="shared" si="4"/>
        <v>0.5490094355008244</v>
      </c>
      <c r="M31" s="9">
        <f t="shared" si="5"/>
        <v>0.6732040646087105</v>
      </c>
      <c r="N31" s="9">
        <f t="shared" si="6"/>
        <v>0.7973986937165966</v>
      </c>
      <c r="O31" s="9">
        <f t="shared" si="7"/>
        <v>0.9232040646087104</v>
      </c>
      <c r="P31" s="9">
        <f>sunrise(Location!$B$4,Location!$B$5,Location!$B$6,9,A31,Location!$B$7,IF(Location!$B$8="No",0,1))</f>
        <v>0.3006201772850521</v>
      </c>
      <c r="Q31" s="9">
        <f>sunset(Location!$B$4,Location!$B$5,Location!$B$6,9,A31,Location!$B$7,IF(Location!$B$8="No",0,1))</f>
        <v>0.7973986937165966</v>
      </c>
      <c r="R31" s="9">
        <f t="shared" si="8"/>
        <v>0.49677851643154447</v>
      </c>
      <c r="S31" s="10">
        <f t="shared" si="9"/>
        <v>0.041398209702628704</v>
      </c>
      <c r="T31" s="9">
        <f t="shared" si="10"/>
        <v>23.503221483568456</v>
      </c>
      <c r="U31" s="10">
        <f t="shared" si="11"/>
        <v>0.041935123630704625</v>
      </c>
    </row>
    <row r="32" spans="1:21" ht="12.75">
      <c r="A32" s="5">
        <v>30</v>
      </c>
      <c r="B32" s="6" t="str">
        <f>B4</f>
        <v>Wednesday</v>
      </c>
      <c r="C32" s="59"/>
      <c r="D32" s="92" t="s">
        <v>72</v>
      </c>
      <c r="E32" s="8" t="s">
        <v>36</v>
      </c>
      <c r="F32" s="6" t="s">
        <v>78</v>
      </c>
      <c r="G32" s="48" t="s">
        <v>147</v>
      </c>
      <c r="H32" s="9">
        <f t="shared" si="0"/>
        <v>12.048781734057512</v>
      </c>
      <c r="I32" s="9">
        <f t="shared" si="1"/>
        <v>6.1748929599315305</v>
      </c>
      <c r="J32" s="9">
        <f t="shared" si="2"/>
        <v>0.30100418580554894</v>
      </c>
      <c r="K32" s="9">
        <f t="shared" si="3"/>
        <v>0.42489295993152953</v>
      </c>
      <c r="L32" s="9">
        <f t="shared" si="4"/>
        <v>0.5487817340575102</v>
      </c>
      <c r="M32" s="9">
        <f t="shared" si="5"/>
        <v>0.6726705081834908</v>
      </c>
      <c r="N32" s="9">
        <f t="shared" si="6"/>
        <v>0.7965592823094715</v>
      </c>
      <c r="O32" s="9">
        <f t="shared" si="7"/>
        <v>0.9226705081834908</v>
      </c>
      <c r="P32" s="9">
        <f>sunrise(Location!$B$4,Location!$B$5,Location!$B$6,9,A32,Location!$B$7,IF(Location!$B$8="No",0,1))</f>
        <v>0.30100418580554894</v>
      </c>
      <c r="Q32" s="9">
        <f>sunset(Location!$B$4,Location!$B$5,Location!$B$6,9,A32,Location!$B$7,IF(Location!$B$8="No",0,1))</f>
        <v>0.7965592823094715</v>
      </c>
      <c r="R32" s="9">
        <f t="shared" si="8"/>
        <v>0.49555509650392254</v>
      </c>
      <c r="S32" s="10">
        <f t="shared" si="9"/>
        <v>0.04129625804199354</v>
      </c>
      <c r="T32" s="9">
        <f t="shared" si="10"/>
        <v>23.50444490349608</v>
      </c>
      <c r="U32" s="10">
        <f t="shared" si="11"/>
        <v>0.042037075291339786</v>
      </c>
    </row>
    <row r="33" spans="2:5" ht="12.75">
      <c r="B33" s="6"/>
      <c r="E33" s="11"/>
    </row>
    <row r="34" spans="2:5" ht="12.75">
      <c r="B34" s="6"/>
      <c r="E34" s="13"/>
    </row>
    <row r="35" spans="1:5" ht="12.75">
      <c r="A35" s="6"/>
      <c r="E35" s="13"/>
    </row>
    <row r="36" spans="2:5" ht="12.75">
      <c r="B36" s="6"/>
      <c r="E36" s="13"/>
    </row>
    <row r="37" spans="2:5" ht="12.75">
      <c r="B37" s="6"/>
      <c r="C37" s="58" t="str">
        <f>IF(Location!B9="No",Location!C13,Location!C14)</f>
        <v>D</v>
      </c>
      <c r="D37" s="53"/>
      <c r="E37" s="52"/>
    </row>
  </sheetData>
  <sheetProtection/>
  <conditionalFormatting sqref="E3:E32">
    <cfRule type="cellIs" priority="1" dxfId="1" operator="equal" stopIfTrue="1">
      <formula>$C$37</formula>
    </cfRule>
  </conditionalFormatting>
  <printOptions gridLines="1" horizontalCentered="1" verticalCentered="1"/>
  <pageMargins left="0.4" right="0.27" top="1" bottom="1.75" header="0.5" footer="0.5"/>
  <pageSetup fitToHeight="12" fitToWidth="1" horizontalDpi="600" verticalDpi="600" orientation="landscape"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Ecology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Washington</dc:creator>
  <cp:keywords/>
  <dc:description/>
  <cp:lastModifiedBy>Keith E Brandt</cp:lastModifiedBy>
  <cp:lastPrinted>2007-11-12T04:23:42Z</cp:lastPrinted>
  <dcterms:created xsi:type="dcterms:W3CDTF">2002-04-28T23:13:29Z</dcterms:created>
  <dcterms:modified xsi:type="dcterms:W3CDTF">2008-11-21T17:52:31Z</dcterms:modified>
  <cp:category/>
  <cp:version/>
  <cp:contentType/>
  <cp:contentStatus/>
</cp:coreProperties>
</file>